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Информация" sheetId="2" r:id="rId1"/>
  </sheets>
  <definedNames>
    <definedName name="_xlnm.Print_Titles" localSheetId="0">Информация!$5:$7</definedName>
    <definedName name="_xlnm.Print_Area" localSheetId="0">Информация!$A$1:$J$92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2" i="2"/>
  <c r="I92"/>
  <c r="F92"/>
  <c r="E92"/>
  <c r="D92"/>
  <c r="C92"/>
  <c r="B92"/>
  <c r="J90"/>
  <c r="I90"/>
  <c r="H90"/>
  <c r="G90"/>
  <c r="F90"/>
  <c r="E90"/>
  <c r="D90"/>
  <c r="C90"/>
  <c r="B90"/>
  <c r="J89"/>
  <c r="I89"/>
  <c r="H89"/>
  <c r="G89"/>
  <c r="F89"/>
  <c r="E89"/>
  <c r="D89"/>
  <c r="C89"/>
  <c r="B89"/>
  <c r="J88"/>
  <c r="I88"/>
  <c r="H88"/>
  <c r="G88"/>
  <c r="F88"/>
  <c r="E88"/>
  <c r="D88"/>
  <c r="C88"/>
  <c r="B88"/>
  <c r="J87"/>
  <c r="I87"/>
  <c r="H87"/>
  <c r="F87"/>
  <c r="E87"/>
  <c r="D87"/>
  <c r="C87"/>
  <c r="B87"/>
  <c r="J86"/>
  <c r="I86"/>
  <c r="H86"/>
  <c r="G86"/>
  <c r="F86"/>
  <c r="E86"/>
  <c r="D86"/>
  <c r="C86"/>
  <c r="B86"/>
  <c r="I85"/>
  <c r="C85"/>
  <c r="B85"/>
  <c r="I84"/>
  <c r="C84"/>
  <c r="B84"/>
  <c r="J83"/>
  <c r="I83"/>
  <c r="H83"/>
  <c r="G83"/>
  <c r="F83"/>
  <c r="E83"/>
  <c r="D83"/>
  <c r="C83"/>
  <c r="B83"/>
  <c r="J82"/>
  <c r="I82"/>
  <c r="H82"/>
  <c r="G82"/>
  <c r="F82"/>
  <c r="E82"/>
  <c r="D82"/>
  <c r="C82"/>
  <c r="B82"/>
  <c r="J81"/>
  <c r="I81"/>
  <c r="H81"/>
  <c r="G81"/>
  <c r="F81"/>
  <c r="E81"/>
  <c r="D81"/>
  <c r="C81"/>
  <c r="B81"/>
  <c r="I80"/>
  <c r="C80"/>
  <c r="B80"/>
  <c r="J79"/>
  <c r="I79"/>
  <c r="G79"/>
  <c r="F79"/>
  <c r="E79"/>
  <c r="D79"/>
  <c r="C79"/>
  <c r="B79"/>
  <c r="J78"/>
  <c r="I78"/>
  <c r="G78"/>
  <c r="F78"/>
  <c r="E78"/>
  <c r="D78"/>
  <c r="C78"/>
  <c r="B78"/>
  <c r="J77"/>
  <c r="I77"/>
  <c r="H77"/>
  <c r="G77"/>
  <c r="F77"/>
  <c r="E77"/>
  <c r="D77"/>
  <c r="C77"/>
  <c r="B77"/>
  <c r="J76"/>
  <c r="I76"/>
  <c r="H76"/>
  <c r="G76"/>
  <c r="F76"/>
  <c r="E76"/>
  <c r="D76"/>
  <c r="C76"/>
  <c r="B76"/>
  <c r="J75"/>
  <c r="I75"/>
  <c r="H75"/>
  <c r="G75"/>
  <c r="F75"/>
  <c r="E75"/>
  <c r="D75"/>
  <c r="C75"/>
  <c r="B75"/>
  <c r="J74"/>
  <c r="I74"/>
  <c r="H74"/>
  <c r="G74"/>
  <c r="F74"/>
  <c r="E74"/>
  <c r="D74"/>
  <c r="C74"/>
  <c r="B74"/>
  <c r="J73"/>
  <c r="I73"/>
  <c r="H73"/>
  <c r="G73"/>
  <c r="F73"/>
  <c r="E73"/>
  <c r="D73"/>
  <c r="C73"/>
  <c r="B73"/>
  <c r="J72"/>
  <c r="I72"/>
  <c r="H72"/>
  <c r="G72"/>
  <c r="F72"/>
  <c r="E72"/>
  <c r="D72"/>
  <c r="C72"/>
  <c r="B72"/>
  <c r="J71"/>
  <c r="I71"/>
  <c r="H71"/>
  <c r="G71"/>
  <c r="F71"/>
  <c r="E71"/>
  <c r="D71"/>
  <c r="C71"/>
  <c r="B71"/>
  <c r="I70"/>
  <c r="C70"/>
  <c r="B70"/>
  <c r="J69"/>
  <c r="I69"/>
  <c r="H69"/>
  <c r="G69"/>
  <c r="F69"/>
  <c r="E69"/>
  <c r="D69"/>
  <c r="C69"/>
  <c r="B69"/>
  <c r="J68"/>
  <c r="I68"/>
  <c r="H68"/>
  <c r="G68"/>
  <c r="F68"/>
  <c r="E68"/>
  <c r="D68"/>
  <c r="C68"/>
  <c r="B68"/>
  <c r="J67"/>
  <c r="I67"/>
  <c r="H67"/>
  <c r="G67"/>
  <c r="F67"/>
  <c r="E67"/>
  <c r="D67"/>
  <c r="C67"/>
  <c r="B67"/>
  <c r="J66"/>
  <c r="I66"/>
  <c r="H66"/>
  <c r="G66"/>
  <c r="F66"/>
  <c r="E66"/>
  <c r="D66"/>
  <c r="C66"/>
  <c r="B66"/>
  <c r="I65"/>
  <c r="G65"/>
  <c r="F65"/>
  <c r="E65"/>
  <c r="C65"/>
  <c r="B65"/>
  <c r="J64"/>
  <c r="I64"/>
  <c r="H64"/>
  <c r="G64"/>
  <c r="F64"/>
  <c r="E64"/>
  <c r="D64"/>
  <c r="C64"/>
  <c r="B64"/>
  <c r="J63"/>
  <c r="I63"/>
  <c r="H63"/>
  <c r="G63"/>
  <c r="F63"/>
  <c r="E63"/>
  <c r="D63"/>
  <c r="C63"/>
  <c r="B63"/>
  <c r="J62"/>
  <c r="I62"/>
  <c r="H62"/>
  <c r="G62"/>
  <c r="F62"/>
  <c r="E62"/>
  <c r="D62"/>
  <c r="C62"/>
  <c r="B62"/>
  <c r="J61"/>
  <c r="I61"/>
  <c r="H61"/>
  <c r="G61"/>
  <c r="F61"/>
  <c r="E61"/>
  <c r="D61"/>
  <c r="C61"/>
  <c r="B61"/>
  <c r="J60"/>
  <c r="I60"/>
  <c r="H60"/>
  <c r="G60"/>
  <c r="F60"/>
  <c r="E60"/>
  <c r="D60"/>
  <c r="C60"/>
  <c r="B60"/>
  <c r="J59"/>
  <c r="I59"/>
  <c r="H59"/>
  <c r="G59"/>
  <c r="F59"/>
  <c r="E59"/>
  <c r="D59"/>
  <c r="C59"/>
  <c r="B59"/>
  <c r="J58"/>
  <c r="I58"/>
  <c r="H58"/>
  <c r="G58"/>
  <c r="F58"/>
  <c r="E58"/>
  <c r="D58"/>
  <c r="C58"/>
  <c r="B58"/>
  <c r="I57"/>
  <c r="G57"/>
  <c r="J56"/>
  <c r="I56"/>
  <c r="H56"/>
  <c r="G56"/>
  <c r="F56"/>
  <c r="E56"/>
  <c r="D56"/>
  <c r="C56"/>
  <c r="B56"/>
  <c r="J55"/>
  <c r="I55"/>
  <c r="H55"/>
  <c r="G55"/>
  <c r="F55"/>
  <c r="E55"/>
  <c r="D55"/>
  <c r="C55"/>
  <c r="B55"/>
  <c r="J54"/>
  <c r="I54"/>
  <c r="H54"/>
  <c r="G54"/>
  <c r="F54"/>
  <c r="E54"/>
  <c r="D54"/>
  <c r="C54"/>
  <c r="B54"/>
  <c r="J53"/>
  <c r="I53"/>
  <c r="H53"/>
  <c r="G53"/>
  <c r="F53"/>
  <c r="E53"/>
  <c r="D53"/>
  <c r="C53"/>
  <c r="B53"/>
  <c r="J52"/>
  <c r="I52"/>
  <c r="H52"/>
  <c r="G52"/>
  <c r="F52"/>
  <c r="E52"/>
  <c r="D52"/>
  <c r="C52"/>
  <c r="B52"/>
  <c r="J51"/>
  <c r="I51"/>
  <c r="H51"/>
  <c r="G51"/>
  <c r="F51"/>
  <c r="E51"/>
  <c r="D51"/>
  <c r="C51"/>
  <c r="B51"/>
  <c r="J50"/>
  <c r="I50"/>
  <c r="H50"/>
  <c r="F50"/>
  <c r="E50"/>
  <c r="D50"/>
  <c r="C50"/>
  <c r="B50"/>
  <c r="J49"/>
  <c r="I49"/>
  <c r="H49"/>
  <c r="G49"/>
  <c r="F49"/>
  <c r="E49"/>
  <c r="D49"/>
  <c r="C49"/>
  <c r="B49"/>
  <c r="I48"/>
  <c r="C48"/>
  <c r="B48"/>
  <c r="J47"/>
  <c r="I47"/>
  <c r="H47"/>
  <c r="G47"/>
  <c r="F47"/>
  <c r="E47"/>
  <c r="D47"/>
  <c r="C47"/>
  <c r="B47"/>
  <c r="J46"/>
  <c r="I46"/>
  <c r="H46"/>
  <c r="G46"/>
  <c r="F46"/>
  <c r="E46"/>
  <c r="D46"/>
  <c r="C46"/>
  <c r="B46"/>
  <c r="J45"/>
  <c r="I45"/>
  <c r="F45"/>
  <c r="E45"/>
  <c r="D45"/>
  <c r="C45"/>
  <c r="B45"/>
  <c r="I44"/>
  <c r="B44"/>
  <c r="J43"/>
  <c r="I43"/>
  <c r="H43"/>
  <c r="G43"/>
  <c r="F43"/>
  <c r="E43"/>
  <c r="D43"/>
  <c r="C43"/>
  <c r="B43"/>
  <c r="J42"/>
  <c r="I42"/>
  <c r="H42"/>
  <c r="G42"/>
  <c r="F42"/>
  <c r="E42"/>
  <c r="D42"/>
  <c r="C42"/>
  <c r="B42"/>
  <c r="J41"/>
  <c r="I41"/>
  <c r="F41"/>
  <c r="E41"/>
  <c r="D41"/>
  <c r="C41"/>
  <c r="B41"/>
  <c r="J40"/>
  <c r="I40"/>
  <c r="F40"/>
  <c r="E40"/>
  <c r="D40"/>
  <c r="C40"/>
  <c r="B40"/>
  <c r="J39"/>
  <c r="I39"/>
  <c r="H39"/>
  <c r="G39"/>
  <c r="F39"/>
  <c r="E39"/>
  <c r="D39"/>
  <c r="C39"/>
  <c r="B39"/>
  <c r="I38"/>
  <c r="H38"/>
  <c r="G38"/>
  <c r="F38"/>
  <c r="E38"/>
  <c r="D38"/>
  <c r="C38"/>
  <c r="B38"/>
  <c r="J37"/>
  <c r="I37"/>
  <c r="H37"/>
  <c r="F37"/>
  <c r="E37"/>
  <c r="C37"/>
  <c r="B37"/>
  <c r="J36"/>
  <c r="I36"/>
  <c r="H36"/>
  <c r="G36"/>
  <c r="F36"/>
  <c r="E36"/>
  <c r="D36"/>
  <c r="C36"/>
  <c r="B36"/>
  <c r="J35"/>
  <c r="I35"/>
  <c r="H35"/>
  <c r="G35"/>
  <c r="F35"/>
  <c r="E35"/>
  <c r="D35"/>
  <c r="C35"/>
  <c r="B35"/>
  <c r="J34"/>
  <c r="I34"/>
  <c r="H34"/>
  <c r="G34"/>
  <c r="F34"/>
  <c r="E34"/>
  <c r="D34"/>
  <c r="C34"/>
  <c r="B34"/>
  <c r="J33"/>
  <c r="I33"/>
  <c r="H33"/>
  <c r="G33"/>
  <c r="F33"/>
  <c r="E33"/>
  <c r="D33"/>
  <c r="C33"/>
  <c r="B33"/>
  <c r="I32"/>
  <c r="C32"/>
  <c r="B32"/>
  <c r="J31"/>
  <c r="I31"/>
  <c r="H31"/>
  <c r="G31"/>
  <c r="F31"/>
  <c r="E31"/>
  <c r="D31"/>
  <c r="C31"/>
  <c r="B31"/>
  <c r="J29"/>
  <c r="I29"/>
  <c r="H29"/>
  <c r="G29"/>
  <c r="F29"/>
  <c r="E29"/>
  <c r="D29"/>
  <c r="C29"/>
  <c r="B29"/>
  <c r="J28"/>
  <c r="I28"/>
  <c r="F28"/>
  <c r="E28"/>
  <c r="C28"/>
  <c r="B28"/>
  <c r="J27"/>
  <c r="I27"/>
  <c r="F27"/>
  <c r="E27"/>
  <c r="C27"/>
  <c r="J26"/>
  <c r="I26"/>
  <c r="F26"/>
  <c r="E26"/>
  <c r="C26"/>
  <c r="B26"/>
  <c r="J25"/>
  <c r="I25"/>
  <c r="H25"/>
  <c r="G25"/>
  <c r="F25"/>
  <c r="E25"/>
  <c r="D25"/>
  <c r="C25"/>
  <c r="B25"/>
  <c r="I24"/>
  <c r="C24"/>
  <c r="B24"/>
  <c r="J23"/>
  <c r="I23"/>
  <c r="H23"/>
  <c r="G23"/>
  <c r="F23"/>
  <c r="E23"/>
  <c r="D23"/>
  <c r="C23"/>
  <c r="B23"/>
  <c r="J22"/>
  <c r="I22"/>
  <c r="H22"/>
  <c r="G22"/>
  <c r="F22"/>
  <c r="E22"/>
  <c r="D22"/>
  <c r="C22"/>
  <c r="B22"/>
  <c r="J21"/>
  <c r="I21"/>
  <c r="H21"/>
  <c r="G21"/>
  <c r="F21"/>
  <c r="E21"/>
  <c r="D21"/>
  <c r="C21"/>
  <c r="B21"/>
  <c r="J20"/>
  <c r="I20"/>
  <c r="H20"/>
  <c r="G20"/>
  <c r="F20"/>
  <c r="E20"/>
  <c r="D20"/>
  <c r="C20"/>
  <c r="B20"/>
  <c r="J19"/>
  <c r="I19"/>
  <c r="H19"/>
  <c r="G19"/>
  <c r="F19"/>
  <c r="E19"/>
  <c r="D19"/>
  <c r="C19"/>
  <c r="B19"/>
  <c r="J18"/>
  <c r="I18"/>
  <c r="H18"/>
  <c r="G18"/>
  <c r="F18"/>
  <c r="E18"/>
  <c r="D18"/>
  <c r="C18"/>
  <c r="B18"/>
  <c r="J17"/>
  <c r="I17"/>
  <c r="H17"/>
  <c r="G17"/>
  <c r="F17"/>
  <c r="E17"/>
  <c r="D17"/>
  <c r="C17"/>
  <c r="B17"/>
  <c r="I16"/>
  <c r="C16"/>
  <c r="B16"/>
  <c r="J15"/>
  <c r="I15"/>
  <c r="H15"/>
  <c r="G15"/>
  <c r="F15"/>
  <c r="E15"/>
  <c r="D15"/>
  <c r="C15"/>
  <c r="B15"/>
  <c r="I14"/>
  <c r="C14"/>
  <c r="B14"/>
  <c r="J13"/>
  <c r="I13"/>
  <c r="H13"/>
  <c r="G13"/>
  <c r="F13"/>
  <c r="E13"/>
  <c r="D13"/>
  <c r="C13"/>
  <c r="B13"/>
  <c r="J12"/>
  <c r="I12"/>
  <c r="H12"/>
  <c r="G12"/>
  <c r="F12"/>
  <c r="E12"/>
  <c r="D12"/>
  <c r="C12"/>
  <c r="B12"/>
  <c r="J11"/>
  <c r="I11"/>
  <c r="H11"/>
  <c r="G11"/>
  <c r="F11"/>
  <c r="E11"/>
  <c r="D11"/>
  <c r="C11"/>
  <c r="B11"/>
  <c r="J10"/>
  <c r="I10"/>
  <c r="H10"/>
  <c r="G10"/>
  <c r="F10"/>
  <c r="E10"/>
  <c r="D10"/>
  <c r="C10"/>
  <c r="B10"/>
  <c r="J8"/>
  <c r="I8"/>
  <c r="H8"/>
  <c r="G8"/>
  <c r="F8"/>
  <c r="E8"/>
  <c r="D8"/>
  <c r="C8"/>
  <c r="B8"/>
</calcChain>
</file>

<file path=xl/sharedStrings.xml><?xml version="1.0" encoding="utf-8"?>
<sst xmlns="http://schemas.openxmlformats.org/spreadsheetml/2006/main" count="107" uniqueCount="101">
  <si>
    <t>Сопоставимая информация об исполнении консолидированного бюджета Всеволожского муниципального района Ленинградской области за 2025 год по отношению к 2024 году (тыс. руб.)</t>
  </si>
  <si>
    <t>Наименование 
показателя</t>
  </si>
  <si>
    <t xml:space="preserve">на 01.01.2026 </t>
  </si>
  <si>
    <t>на 01.01.2025</t>
  </si>
  <si>
    <t>Отклонение</t>
  </si>
  <si>
    <t>темп                роста (+)         снижения (-)</t>
  </si>
  <si>
    <t>Утвержденные бюджетные назначения</t>
  </si>
  <si>
    <t>Исполнено</t>
  </si>
  <si>
    <t>% исполнения за 2025 год</t>
  </si>
  <si>
    <t>% исполнения за 2024 год</t>
  </si>
  <si>
    <t>консолидированный бюджет субъекта Российской Федерации и территориального государственного внебюджетного фонда</t>
  </si>
  <si>
    <t>1</t>
  </si>
  <si>
    <t>5</t>
  </si>
  <si>
    <t>6</t>
  </si>
  <si>
    <t>7</t>
  </si>
  <si>
    <t>9</t>
  </si>
  <si>
    <t>10</t>
  </si>
  <si>
    <t>Доходы бюджета - ИТОГО</t>
  </si>
  <si>
    <t xml:space="preserve">в том числе: </t>
  </si>
  <si>
    <t xml:space="preserve">  НАЛОГОВЫЕ И НЕНАЛОГОВЫЕ ДОХОДЫ</t>
  </si>
  <si>
    <t xml:space="preserve">  НАЛОГИ НА  ДОХОДЫ ФИЗИЧЕСКИХ ЛИЦ</t>
  </si>
  <si>
    <t>АКЦИЗЫ</t>
  </si>
  <si>
    <t xml:space="preserve">  НАЛОГИ НА СОВОКУПНЫЙ ДОХОД</t>
  </si>
  <si>
    <t xml:space="preserve">  НАЛОГИ НА ИМУЩЕСТВО</t>
  </si>
  <si>
    <t xml:space="preserve">  ГОСУДАРСТВЕННАЯ ПОШЛИНА</t>
  </si>
  <si>
    <t xml:space="preserve">  ЗАДОЛЖЕННОСТЬ И ПЕРЕРАСЧЕТЫ ПО ОТМЕНЕННЫМ НАЛОГАМ, СБОРАМ И ИНЫМ ОБЯЗАТЕЛЬНЫМ ПЛАТЕЖАМ</t>
  </si>
  <si>
    <t xml:space="preserve">  ДОХОДЫ ОТ ИСПОЛЬЗОВАНИЯ ИМУЩЕСТВА, НАХОДЯЩЕГОСЯ В ГОСУДАРСТВЕННОЙ И МУНИЦИПАЛЬНОЙ СОБСТВЕННОСТИ</t>
  </si>
  <si>
    <t xml:space="preserve">  ПЛАТЕЖИ ПРИ ПОЛЬЗОВАНИИ ПРИРОДНЫМИ РЕСУРСАМИ</t>
  </si>
  <si>
    <t xml:space="preserve">  ДОХОДЫ ОТ ОКАЗАНИЯ ПЛАТНЫХ УСЛУГ (РАБОТ) И КОМПЕНСАЦИИ ЗАТРАТ ГОСУДАРСТВА</t>
  </si>
  <si>
    <t xml:space="preserve">  ДОХОДЫ ОТ ПРОДАЖИ МАТЕРИАЛЬНЫХ И НЕМАТЕРИАЛЬНЫХ АКТИВОВ</t>
  </si>
  <si>
    <t xml:space="preserve">  ШТРАФЫ, САНКЦИИ, ВОЗМЕЩЕНИЕ УЩЕРБА</t>
  </si>
  <si>
    <t xml:space="preserve">  ПРОЧИЕ НЕНАЛОГОВЫЕ ДОХОДЫ</t>
  </si>
  <si>
    <t xml:space="preserve">  БЕЗВОЗМЕЗДНЫЕ ПОСТУПЛЕНИЯ</t>
  </si>
  <si>
    <t xml:space="preserve">  БЕЗВОЗМЕЗДНЫЕ ПОСТУПЛЕНИЯ ОТ НЕРЕЗИДЕНТОВ</t>
  </si>
  <si>
    <t xml:space="preserve">  БЕЗВОЗМЕЗДНЫЕ ПОСТУПЛЕНИЯ ОТ ДРУГИХ БЮДЖЕТОВ БЮДЖЕТНОЙ СИСТЕМЫ РОССИЙСКОЙ ФЕДЕРАЦИИ</t>
  </si>
  <si>
    <t xml:space="preserve">  ПРОЧИЕ БЕЗВОЗМЕЗДНЫЕ ПОСТУПЛЕНИЯ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</si>
  <si>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</si>
  <si>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</si>
  <si>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</si>
  <si>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</si>
  <si>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</si>
  <si>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</si>
  <si>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</si>
  <si>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</si>
  <si>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</si>
  <si>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Обеспечение проведения выборов и референдумов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</si>
  <si>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</si>
  <si>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</si>
  <si>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</si>
  <si>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Мобилизационная и вневойсковая подготовка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</si>
  <si>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</si>
  <si>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</si>
  <si>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</si>
  <si>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>Гражданская оборона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</si>
  <si>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</si>
  <si>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</si>
  <si>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Топливно-энергетический комплекс</t>
  </si>
  <si>
    <t xml:space="preserve">  Сельское хозяйство и рыболовство</t>
  </si>
  <si>
    <t>Транспорт</t>
  </si>
  <si>
    <t xml:space="preserve">  Дорожное хозяйство (дорожные фонды)</t>
  </si>
  <si>
    <t xml:space="preserve">  Связь и информатика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</si>
  <si>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</si>
  <si>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</si>
  <si>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Жилищное хозяйство</t>
  </si>
  <si>
    <t xml:space="preserve">  Коммунальное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</si>
  <si>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</si>
  <si>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</si>
  <si>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ОХРАНА ОКРУЖАЮЩЕЙ СРЕДЫ</t>
  </si>
  <si>
    <t xml:space="preserve">  Другие вопросы в области охраны окружающей среды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</si>
  <si>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</si>
  <si>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</si>
  <si>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</si>
  <si>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</si>
  <si>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Профессиональная подготовка, переподготовка и повышение квалификации</t>
  </si>
  <si>
    <t xml:space="preserve">  Молодежная политика 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</si>
  <si>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</si>
  <si>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</si>
  <si>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</si>
  <si>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</si>
  <si>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</si>
  <si>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</si>
  <si>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обеспечение населения</t>
  </si>
  <si>
    <t xml:space="preserve">  Охрана семьи и детства</t>
  </si>
  <si>
    <t xml:space="preserve">  Другие вопросы в области социальной политики</t>
  </si>
  <si>
    <t xml:space="preserve">  ФИЗИЧЕСКАЯ КУЛЬТУРА И СПОРТ</t>
  </si>
  <si>
    <t xml:space="preserve">  Физическая культура</t>
  </si>
  <si>
    <t xml:space="preserve">  Массовый спорт</t>
  </si>
  <si>
    <t>Спорт высших достижений</t>
  </si>
  <si>
    <t xml:space="preserve">  Другие вопросы в области физической культуры и спорта</t>
  </si>
  <si>
    <t xml:space="preserve">  СРЕДСТВА МАССОВОЙ ИНФОРМАЦИИ</t>
  </si>
  <si>
    <t>Телевидение и радиовещание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</si>
  <si>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</si>
  <si>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</si>
  <si>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</si>
  <si>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</si>
  <si>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</si>
  <si>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</si>
  <si>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Результат исполнения бюджета (дефицит / профицит)</t>
  </si>
  <si>
    <t>Источники финансирования дефицита бюджетов - всего</t>
  </si>
  <si>
    <t xml:space="preserve">     в том числе:</t>
  </si>
  <si>
    <t>источники внутреннего финансирования</t>
  </si>
</sst>
</file>

<file path=xl/styles.xml><?xml version="1.0" encoding="utf-8"?>
<styleSheet xmlns="http://schemas.openxmlformats.org/spreadsheetml/2006/main">
  <numFmts count="3">
    <numFmt numFmtId="168" formatCode="#\ ##0.00"/>
    <numFmt numFmtId="169" formatCode="dd\.mm\.yyyy"/>
    <numFmt numFmtId="170" formatCode="#\ ##0.00_ "/>
  </numFmts>
  <fonts count="18">
    <font>
      <sz val="11"/>
      <name val="Calibri"/>
      <charset val="134"/>
      <scheme val="minor"/>
    </font>
    <font>
      <sz val="14"/>
      <name val="Calibri"/>
      <charset val="134"/>
      <scheme val="minor"/>
    </font>
    <font>
      <sz val="14"/>
      <name val="Times New Roman"/>
      <charset val="204"/>
    </font>
    <font>
      <sz val="14"/>
      <color rgb="FF000000"/>
      <name val="Times New Roman"/>
      <charset val="204"/>
    </font>
    <font>
      <b/>
      <sz val="14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sz val="10"/>
      <color rgb="FF000000"/>
      <name val="Arial"/>
      <charset val="204"/>
    </font>
    <font>
      <sz val="11"/>
      <color rgb="FF000000"/>
      <name val="Times New Roman"/>
      <charset val="204"/>
    </font>
    <font>
      <b/>
      <i/>
      <sz val="8"/>
      <color rgb="FF000000"/>
      <name val="Arial"/>
      <charset val="204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sz val="6"/>
      <color rgb="FF000000"/>
      <name val="Arial"/>
      <charset val="204"/>
    </font>
    <font>
      <b/>
      <sz val="12"/>
      <color rgb="FF000000"/>
      <name val="Arial"/>
      <charset val="204"/>
    </font>
    <font>
      <sz val="9"/>
      <color rgb="FF000000"/>
      <name val="Arial"/>
      <charset val="204"/>
    </font>
    <font>
      <b/>
      <sz val="10"/>
      <color rgb="FF000000"/>
      <name val="Arial"/>
      <charset val="204"/>
    </font>
    <font>
      <sz val="1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71">
    <xf numFmtId="0" fontId="0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49" fontId="6" fillId="0" borderId="13">
      <alignment horizontal="center"/>
    </xf>
    <xf numFmtId="168" fontId="6" fillId="0" borderId="14">
      <alignment horizontal="right"/>
    </xf>
    <xf numFmtId="0" fontId="7" fillId="0" borderId="15"/>
    <xf numFmtId="0" fontId="6" fillId="0" borderId="16">
      <alignment horizontal="left" wrapText="1"/>
    </xf>
    <xf numFmtId="0" fontId="6" fillId="0" borderId="17">
      <alignment horizontal="left" wrapText="1"/>
    </xf>
    <xf numFmtId="0" fontId="6" fillId="0" borderId="16">
      <alignment horizontal="left" wrapText="1" indent="1"/>
    </xf>
    <xf numFmtId="0" fontId="6" fillId="0" borderId="17">
      <alignment horizontal="left" wrapText="1" indent="2"/>
    </xf>
    <xf numFmtId="0" fontId="6" fillId="0" borderId="18">
      <alignment horizontal="left" wrapText="1" indent="2"/>
    </xf>
    <xf numFmtId="0" fontId="6" fillId="0" borderId="0">
      <alignment horizontal="center" wrapText="1"/>
    </xf>
    <xf numFmtId="49" fontId="6" fillId="0" borderId="15">
      <alignment horizontal="left"/>
    </xf>
    <xf numFmtId="49" fontId="6" fillId="0" borderId="19">
      <alignment horizontal="center" wrapText="1"/>
    </xf>
    <xf numFmtId="49" fontId="6" fillId="0" borderId="19">
      <alignment horizontal="center" shrinkToFit="1"/>
    </xf>
    <xf numFmtId="49" fontId="6" fillId="0" borderId="8">
      <alignment horizontal="center" shrinkToFit="1"/>
    </xf>
    <xf numFmtId="0" fontId="6" fillId="0" borderId="18">
      <alignment horizontal="left" wrapText="1"/>
    </xf>
    <xf numFmtId="0" fontId="6" fillId="0" borderId="20">
      <alignment horizontal="left" wrapText="1"/>
    </xf>
    <xf numFmtId="0" fontId="6" fillId="0" borderId="18">
      <alignment horizontal="left" wrapText="1" indent="1"/>
    </xf>
    <xf numFmtId="0" fontId="6" fillId="0" borderId="20">
      <alignment horizontal="left" wrapText="1" indent="2"/>
    </xf>
    <xf numFmtId="0" fontId="8" fillId="0" borderId="21"/>
    <xf numFmtId="0" fontId="8" fillId="0" borderId="22"/>
    <xf numFmtId="0" fontId="7" fillId="0" borderId="23">
      <alignment horizontal="center" vertical="center" textRotation="90" wrapText="1"/>
    </xf>
    <xf numFmtId="0" fontId="7" fillId="0" borderId="24">
      <alignment horizontal="center" vertical="center" textRotation="90" wrapText="1"/>
    </xf>
    <xf numFmtId="0" fontId="6" fillId="0" borderId="0">
      <alignment vertical="center"/>
    </xf>
    <xf numFmtId="0" fontId="7" fillId="0" borderId="0">
      <alignment horizontal="center" vertical="center" textRotation="90" wrapText="1"/>
    </xf>
    <xf numFmtId="0" fontId="7" fillId="0" borderId="25">
      <alignment horizontal="center" vertical="center" textRotation="90" wrapText="1"/>
    </xf>
    <xf numFmtId="0" fontId="7" fillId="0" borderId="0">
      <alignment horizontal="center" vertical="center" textRotation="90"/>
    </xf>
    <xf numFmtId="0" fontId="7" fillId="0" borderId="25">
      <alignment horizontal="center" vertical="center" textRotation="90"/>
    </xf>
    <xf numFmtId="0" fontId="7" fillId="0" borderId="26">
      <alignment horizontal="center" vertical="center" textRotation="90"/>
    </xf>
    <xf numFmtId="0" fontId="8" fillId="0" borderId="24"/>
    <xf numFmtId="0" fontId="9" fillId="0" borderId="15">
      <alignment wrapText="1"/>
    </xf>
    <xf numFmtId="0" fontId="9" fillId="0" borderId="24">
      <alignment wrapText="1"/>
    </xf>
    <xf numFmtId="0" fontId="6" fillId="0" borderId="26">
      <alignment horizontal="center" vertical="top" wrapText="1"/>
    </xf>
    <xf numFmtId="0" fontId="7" fillId="0" borderId="27"/>
    <xf numFmtId="49" fontId="10" fillId="0" borderId="28">
      <alignment horizontal="left" vertical="center" wrapText="1"/>
    </xf>
    <xf numFmtId="49" fontId="6" fillId="0" borderId="20">
      <alignment horizontal="left" vertical="center" wrapText="1" indent="2"/>
    </xf>
    <xf numFmtId="49" fontId="6" fillId="0" borderId="18">
      <alignment horizontal="left" vertical="center" wrapText="1" indent="3"/>
    </xf>
    <xf numFmtId="49" fontId="6" fillId="0" borderId="28">
      <alignment horizontal="left" vertical="center" wrapText="1" indent="3"/>
    </xf>
    <xf numFmtId="49" fontId="6" fillId="0" borderId="29">
      <alignment horizontal="left" vertical="center" wrapText="1" indent="3"/>
    </xf>
    <xf numFmtId="0" fontId="10" fillId="0" borderId="27">
      <alignment horizontal="left" vertical="center" wrapText="1"/>
    </xf>
    <xf numFmtId="49" fontId="6" fillId="0" borderId="24">
      <alignment horizontal="left" vertical="center" wrapText="1" indent="3"/>
    </xf>
    <xf numFmtId="49" fontId="6" fillId="0" borderId="0">
      <alignment horizontal="left" vertical="center" wrapText="1" indent="3"/>
    </xf>
    <xf numFmtId="49" fontId="6" fillId="0" borderId="15">
      <alignment horizontal="left" vertical="center" wrapText="1" indent="3"/>
    </xf>
    <xf numFmtId="49" fontId="10" fillId="0" borderId="27">
      <alignment horizontal="left" vertical="center" wrapText="1"/>
    </xf>
    <xf numFmtId="0" fontId="6" fillId="0" borderId="28">
      <alignment horizontal="left" vertical="center" wrapText="1"/>
    </xf>
    <xf numFmtId="0" fontId="6" fillId="0" borderId="29">
      <alignment horizontal="left" vertical="center" wrapText="1"/>
    </xf>
    <xf numFmtId="49" fontId="10" fillId="0" borderId="30">
      <alignment horizontal="left" vertical="center" wrapText="1"/>
    </xf>
    <xf numFmtId="49" fontId="6" fillId="0" borderId="31">
      <alignment horizontal="left" vertical="center" wrapText="1"/>
    </xf>
    <xf numFmtId="49" fontId="6" fillId="0" borderId="32">
      <alignment horizontal="left" vertical="center" wrapText="1"/>
    </xf>
    <xf numFmtId="49" fontId="7" fillId="0" borderId="33">
      <alignment horizontal="center"/>
    </xf>
    <xf numFmtId="49" fontId="7" fillId="0" borderId="34">
      <alignment horizontal="center" vertical="center" wrapText="1"/>
    </xf>
    <xf numFmtId="49" fontId="6" fillId="0" borderId="35">
      <alignment horizontal="center" vertical="center" wrapText="1"/>
    </xf>
    <xf numFmtId="49" fontId="6" fillId="0" borderId="19">
      <alignment horizontal="center" vertical="center" wrapText="1"/>
    </xf>
    <xf numFmtId="49" fontId="6" fillId="0" borderId="34">
      <alignment horizontal="center" vertical="center" wrapText="1"/>
    </xf>
    <xf numFmtId="49" fontId="6" fillId="0" borderId="24">
      <alignment horizontal="center" vertical="center" wrapText="1"/>
    </xf>
    <xf numFmtId="49" fontId="6" fillId="0" borderId="0">
      <alignment horizontal="center" vertical="center" wrapText="1"/>
    </xf>
    <xf numFmtId="49" fontId="6" fillId="0" borderId="15">
      <alignment horizontal="center" vertical="center" wrapText="1"/>
    </xf>
    <xf numFmtId="49" fontId="7" fillId="0" borderId="33">
      <alignment horizontal="center" vertical="center" wrapText="1"/>
    </xf>
    <xf numFmtId="49" fontId="6" fillId="0" borderId="36">
      <alignment horizontal="center" vertical="center" wrapText="1"/>
    </xf>
    <xf numFmtId="0" fontId="8" fillId="0" borderId="37"/>
    <xf numFmtId="0" fontId="6" fillId="0" borderId="33">
      <alignment horizontal="center" vertical="center"/>
    </xf>
    <xf numFmtId="0" fontId="6" fillId="0" borderId="35">
      <alignment horizontal="center" vertical="center"/>
    </xf>
    <xf numFmtId="0" fontId="6" fillId="0" borderId="19">
      <alignment horizontal="center" vertical="center"/>
    </xf>
    <xf numFmtId="0" fontId="6" fillId="0" borderId="34">
      <alignment horizontal="center" vertical="center"/>
    </xf>
    <xf numFmtId="49" fontId="6" fillId="0" borderId="38">
      <alignment horizontal="center" vertical="center"/>
    </xf>
    <xf numFmtId="49" fontId="6" fillId="0" borderId="21">
      <alignment horizontal="center" vertical="center"/>
    </xf>
    <xf numFmtId="49" fontId="6" fillId="0" borderId="8">
      <alignment horizontal="center" vertical="center"/>
    </xf>
    <xf numFmtId="49" fontId="6" fillId="0" borderId="26">
      <alignment horizontal="center" vertical="center"/>
    </xf>
    <xf numFmtId="49" fontId="6" fillId="0" borderId="26">
      <alignment horizontal="center" vertical="top" wrapText="1"/>
    </xf>
    <xf numFmtId="0" fontId="6" fillId="0" borderId="21"/>
    <xf numFmtId="168" fontId="6" fillId="0" borderId="24">
      <alignment horizontal="right"/>
    </xf>
    <xf numFmtId="168" fontId="6" fillId="0" borderId="0">
      <alignment horizontal="right" shrinkToFit="1"/>
    </xf>
    <xf numFmtId="168" fontId="6" fillId="0" borderId="15">
      <alignment horizontal="right"/>
    </xf>
    <xf numFmtId="168" fontId="6" fillId="0" borderId="39">
      <alignment horizontal="right"/>
    </xf>
    <xf numFmtId="49" fontId="6" fillId="0" borderId="15">
      <alignment horizontal="center"/>
    </xf>
    <xf numFmtId="0" fontId="6" fillId="0" borderId="24">
      <alignment horizontal="center"/>
    </xf>
    <xf numFmtId="0" fontId="11" fillId="0" borderId="15"/>
    <xf numFmtId="0" fontId="11" fillId="0" borderId="24"/>
    <xf numFmtId="0" fontId="6" fillId="0" borderId="15">
      <alignment horizontal="center"/>
    </xf>
    <xf numFmtId="49" fontId="6" fillId="0" borderId="24">
      <alignment horizontal="center"/>
    </xf>
    <xf numFmtId="49" fontId="6" fillId="0" borderId="0">
      <alignment horizontal="left"/>
    </xf>
    <xf numFmtId="168" fontId="6" fillId="0" borderId="21">
      <alignment horizontal="right"/>
    </xf>
    <xf numFmtId="0" fontId="6" fillId="0" borderId="26">
      <alignment horizontal="center" vertical="top"/>
    </xf>
    <xf numFmtId="168" fontId="6" fillId="0" borderId="22">
      <alignment horizontal="right"/>
    </xf>
    <xf numFmtId="0" fontId="6" fillId="0" borderId="22"/>
    <xf numFmtId="168" fontId="6" fillId="0" borderId="40">
      <alignment horizontal="right"/>
    </xf>
    <xf numFmtId="0" fontId="9" fillId="0" borderId="26">
      <alignment wrapText="1"/>
    </xf>
    <xf numFmtId="0" fontId="5" fillId="0" borderId="41"/>
    <xf numFmtId="0" fontId="8" fillId="3" borderId="0"/>
    <xf numFmtId="0" fontId="7" fillId="0" borderId="0"/>
    <xf numFmtId="0" fontId="12" fillId="0" borderId="0"/>
    <xf numFmtId="0" fontId="6" fillId="0" borderId="0">
      <alignment horizontal="left"/>
    </xf>
    <xf numFmtId="0" fontId="6" fillId="0" borderId="0"/>
    <xf numFmtId="0" fontId="5" fillId="0" borderId="0"/>
    <xf numFmtId="0" fontId="8" fillId="0" borderId="0"/>
    <xf numFmtId="49" fontId="6" fillId="0" borderId="26">
      <alignment horizontal="center" vertical="center" wrapText="1"/>
    </xf>
    <xf numFmtId="0" fontId="6" fillId="0" borderId="13">
      <alignment horizontal="left" wrapText="1"/>
    </xf>
    <xf numFmtId="0" fontId="6" fillId="0" borderId="22">
      <alignment horizontal="left" wrapText="1" indent="1"/>
    </xf>
    <xf numFmtId="0" fontId="6" fillId="0" borderId="42">
      <alignment horizontal="left" wrapText="1" indent="2"/>
    </xf>
    <xf numFmtId="0" fontId="5" fillId="0" borderId="0"/>
    <xf numFmtId="0" fontId="13" fillId="0" borderId="0">
      <alignment horizontal="center" vertical="top"/>
    </xf>
    <xf numFmtId="0" fontId="6" fillId="0" borderId="24">
      <alignment horizontal="left"/>
    </xf>
    <xf numFmtId="49" fontId="6" fillId="0" borderId="33">
      <alignment horizontal="center" wrapText="1"/>
    </xf>
    <xf numFmtId="49" fontId="6" fillId="0" borderId="35">
      <alignment horizontal="center" wrapText="1"/>
    </xf>
    <xf numFmtId="49" fontId="6" fillId="0" borderId="19">
      <alignment horizontal="center"/>
    </xf>
    <xf numFmtId="0" fontId="6" fillId="0" borderId="37"/>
    <xf numFmtId="0" fontId="6" fillId="0" borderId="0">
      <alignment horizontal="center"/>
    </xf>
    <xf numFmtId="49" fontId="6" fillId="0" borderId="24"/>
    <xf numFmtId="49" fontId="6" fillId="0" borderId="0"/>
    <xf numFmtId="49" fontId="6" fillId="0" borderId="38">
      <alignment horizontal="center"/>
    </xf>
    <xf numFmtId="49" fontId="6" fillId="0" borderId="21">
      <alignment horizontal="center"/>
    </xf>
    <xf numFmtId="49" fontId="6" fillId="0" borderId="8">
      <alignment horizontal="center"/>
    </xf>
    <xf numFmtId="0" fontId="6" fillId="0" borderId="26">
      <alignment horizontal="center" vertical="center" wrapText="1"/>
    </xf>
    <xf numFmtId="49" fontId="6" fillId="0" borderId="39">
      <alignment horizontal="center" vertical="center" wrapText="1"/>
    </xf>
    <xf numFmtId="168" fontId="6" fillId="0" borderId="26">
      <alignment horizontal="right"/>
    </xf>
    <xf numFmtId="168" fontId="6" fillId="0" borderId="8">
      <alignment horizontal="right"/>
    </xf>
    <xf numFmtId="0" fontId="6" fillId="4" borderId="37"/>
    <xf numFmtId="0" fontId="6" fillId="4" borderId="0"/>
    <xf numFmtId="0" fontId="7" fillId="0" borderId="0">
      <alignment horizontal="center"/>
    </xf>
    <xf numFmtId="0" fontId="6" fillId="0" borderId="15">
      <alignment wrapText="1"/>
    </xf>
    <xf numFmtId="0" fontId="6" fillId="0" borderId="12">
      <alignment wrapText="1"/>
    </xf>
    <xf numFmtId="0" fontId="14" fillId="0" borderId="0">
      <alignment horizontal="center" wrapText="1"/>
    </xf>
    <xf numFmtId="49" fontId="15" fillId="0" borderId="0">
      <alignment horizontal="right"/>
    </xf>
    <xf numFmtId="0" fontId="6" fillId="0" borderId="0">
      <alignment horizontal="right"/>
    </xf>
    <xf numFmtId="0" fontId="16" fillId="0" borderId="0"/>
    <xf numFmtId="0" fontId="6" fillId="0" borderId="25">
      <alignment horizontal="center"/>
    </xf>
    <xf numFmtId="49" fontId="15" fillId="0" borderId="43">
      <alignment horizontal="right"/>
    </xf>
    <xf numFmtId="0" fontId="6" fillId="0" borderId="43">
      <alignment horizontal="right"/>
    </xf>
    <xf numFmtId="0" fontId="5" fillId="0" borderId="44"/>
    <xf numFmtId="0" fontId="16" fillId="0" borderId="15"/>
    <xf numFmtId="0" fontId="6" fillId="0" borderId="39">
      <alignment horizontal="center"/>
    </xf>
    <xf numFmtId="49" fontId="8" fillId="0" borderId="45">
      <alignment horizontal="center"/>
    </xf>
    <xf numFmtId="169" fontId="6" fillId="0" borderId="46">
      <alignment horizontal="center"/>
    </xf>
    <xf numFmtId="0" fontId="6" fillId="0" borderId="47">
      <alignment horizontal="center"/>
    </xf>
    <xf numFmtId="49" fontId="6" fillId="0" borderId="48">
      <alignment horizontal="center"/>
    </xf>
    <xf numFmtId="49" fontId="6" fillId="0" borderId="46">
      <alignment horizontal="center"/>
    </xf>
    <xf numFmtId="0" fontId="6" fillId="0" borderId="46">
      <alignment horizontal="center"/>
    </xf>
    <xf numFmtId="49" fontId="6" fillId="0" borderId="49">
      <alignment horizontal="center"/>
    </xf>
    <xf numFmtId="0" fontId="5" fillId="0" borderId="50"/>
    <xf numFmtId="0" fontId="8" fillId="0" borderId="51"/>
    <xf numFmtId="0" fontId="8" fillId="0" borderId="41"/>
    <xf numFmtId="49" fontId="8" fillId="0" borderId="0">
      <alignment horizontal="center"/>
    </xf>
    <xf numFmtId="169" fontId="6" fillId="0" borderId="0">
      <alignment horizontal="center"/>
    </xf>
    <xf numFmtId="49" fontId="6" fillId="0" borderId="0">
      <alignment horizontal="center"/>
    </xf>
    <xf numFmtId="49" fontId="6" fillId="0" borderId="0">
      <alignment horizontal="right"/>
    </xf>
    <xf numFmtId="168" fontId="6" fillId="0" borderId="13">
      <alignment horizontal="right"/>
    </xf>
    <xf numFmtId="49" fontId="6" fillId="0" borderId="22">
      <alignment horizontal="center"/>
    </xf>
    <xf numFmtId="168" fontId="6" fillId="0" borderId="42">
      <alignment horizontal="right"/>
    </xf>
    <xf numFmtId="0" fontId="6" fillId="0" borderId="0">
      <alignment horizontal="left" wrapText="1"/>
    </xf>
    <xf numFmtId="0" fontId="6" fillId="0" borderId="15">
      <alignment horizontal="left"/>
    </xf>
    <xf numFmtId="0" fontId="6" fillId="0" borderId="52">
      <alignment horizontal="left" wrapText="1"/>
    </xf>
    <xf numFmtId="0" fontId="6" fillId="0" borderId="53">
      <alignment horizontal="left" wrapText="1" indent="1"/>
    </xf>
    <xf numFmtId="0" fontId="6" fillId="0" borderId="54"/>
    <xf numFmtId="0" fontId="7" fillId="0" borderId="55">
      <alignment horizontal="left" wrapText="1"/>
    </xf>
    <xf numFmtId="49" fontId="6" fillId="0" borderId="0">
      <alignment horizontal="center" wrapText="1"/>
    </xf>
    <xf numFmtId="49" fontId="6" fillId="0" borderId="34">
      <alignment horizontal="center" wrapText="1"/>
    </xf>
    <xf numFmtId="0" fontId="6" fillId="0" borderId="56">
      <alignment horizontal="center" wrapText="1"/>
    </xf>
    <xf numFmtId="49" fontId="6" fillId="0" borderId="8">
      <alignment horizontal="center" wrapText="1"/>
    </xf>
    <xf numFmtId="49" fontId="6" fillId="0" borderId="26">
      <alignment horizontal="center"/>
    </xf>
    <xf numFmtId="49" fontId="6" fillId="0" borderId="57">
      <alignment horizontal="center" wrapText="1"/>
    </xf>
    <xf numFmtId="49" fontId="6" fillId="0" borderId="15"/>
    <xf numFmtId="168" fontId="6" fillId="0" borderId="38">
      <alignment horizontal="right"/>
    </xf>
    <xf numFmtId="49" fontId="7" fillId="0" borderId="0"/>
    <xf numFmtId="0" fontId="6" fillId="0" borderId="42">
      <alignment horizontal="left" wrapText="1"/>
    </xf>
    <xf numFmtId="0" fontId="7" fillId="0" borderId="14">
      <alignment horizontal="left" wrapText="1"/>
    </xf>
    <xf numFmtId="0" fontId="6" fillId="0" borderId="15"/>
    <xf numFmtId="0" fontId="8" fillId="0" borderId="15"/>
  </cellStyleXfs>
  <cellXfs count="43">
    <xf numFmtId="0" fontId="0" fillId="0" borderId="0" xfId="0"/>
    <xf numFmtId="0" fontId="1" fillId="2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49" fontId="3" fillId="2" borderId="4" xfId="99" applyFont="1" applyFill="1" applyBorder="1" applyProtection="1">
      <alignment horizontal="center" vertical="center" wrapText="1"/>
    </xf>
    <xf numFmtId="49" fontId="3" fillId="2" borderId="5" xfId="99" applyFont="1" applyFill="1" applyBorder="1" applyProtection="1">
      <alignment horizontal="center" vertical="center" wrapText="1"/>
    </xf>
    <xf numFmtId="49" fontId="3" fillId="2" borderId="1" xfId="99" applyFont="1" applyFill="1" applyBorder="1" applyProtection="1">
      <alignment horizontal="center" vertical="center" wrapText="1"/>
    </xf>
    <xf numFmtId="0" fontId="3" fillId="2" borderId="1" xfId="143" applyNumberFormat="1" applyFont="1" applyFill="1" applyBorder="1" applyProtection="1"/>
    <xf numFmtId="0" fontId="3" fillId="2" borderId="6" xfId="116" applyNumberFormat="1" applyFont="1" applyFill="1" applyBorder="1" applyProtection="1">
      <alignment horizontal="center" vertical="center" wrapText="1"/>
    </xf>
    <xf numFmtId="0" fontId="3" fillId="2" borderId="7" xfId="116" applyNumberFormat="1" applyFont="1" applyFill="1" applyBorder="1" applyProtection="1">
      <alignment horizontal="center" vertical="center" wrapText="1"/>
    </xf>
    <xf numFmtId="0" fontId="3" fillId="2" borderId="1" xfId="116" applyNumberFormat="1" applyFont="1" applyFill="1" applyBorder="1" applyProtection="1">
      <alignment horizontal="center" vertical="center" wrapText="1"/>
    </xf>
    <xf numFmtId="49" fontId="3" fillId="2" borderId="1" xfId="117" applyFont="1" applyFill="1" applyBorder="1" applyAlignment="1" applyProtection="1">
      <alignment horizontal="center" vertical="center" wrapText="1"/>
    </xf>
    <xf numFmtId="0" fontId="3" fillId="2" borderId="1" xfId="143" applyNumberFormat="1" applyFont="1" applyFill="1" applyBorder="1" applyAlignment="1" applyProtection="1">
      <alignment horizontal="center"/>
    </xf>
    <xf numFmtId="0" fontId="3" fillId="2" borderId="1" xfId="100" applyNumberFormat="1" applyFont="1" applyFill="1" applyBorder="1" applyProtection="1">
      <alignment horizontal="left" wrapText="1"/>
    </xf>
    <xf numFmtId="170" fontId="3" fillId="2" borderId="1" xfId="118" applyNumberFormat="1" applyFont="1" applyFill="1" applyBorder="1" applyAlignment="1" applyProtection="1">
      <alignment horizontal="right"/>
    </xf>
    <xf numFmtId="170" fontId="3" fillId="2" borderId="1" xfId="144" applyNumberFormat="1" applyFont="1" applyFill="1" applyBorder="1" applyAlignment="1" applyProtection="1">
      <alignment horizontal="right"/>
    </xf>
    <xf numFmtId="0" fontId="3" fillId="2" borderId="1" xfId="101" applyNumberFormat="1" applyFont="1" applyFill="1" applyBorder="1" applyProtection="1">
      <alignment horizontal="left" wrapText="1" indent="1"/>
    </xf>
    <xf numFmtId="170" fontId="3" fillId="2" borderId="1" xfId="114" applyNumberFormat="1" applyFont="1" applyFill="1" applyBorder="1" applyAlignment="1" applyProtection="1">
      <alignment horizontal="right"/>
    </xf>
    <xf numFmtId="0" fontId="3" fillId="2" borderId="1" xfId="102" applyNumberFormat="1" applyFont="1" applyFill="1" applyBorder="1" applyProtection="1">
      <alignment horizontal="left" wrapText="1" indent="2"/>
    </xf>
    <xf numFmtId="170" fontId="3" fillId="2" borderId="1" xfId="119" applyNumberFormat="1" applyFont="1" applyFill="1" applyBorder="1" applyAlignment="1" applyProtection="1">
      <alignment horizontal="right"/>
    </xf>
    <xf numFmtId="0" fontId="3" fillId="2" borderId="1" xfId="154" applyNumberFormat="1" applyFont="1" applyFill="1" applyBorder="1" applyProtection="1">
      <alignment horizontal="left" wrapText="1"/>
    </xf>
    <xf numFmtId="0" fontId="3" fillId="2" borderId="1" xfId="155" applyNumberFormat="1" applyFont="1" applyFill="1" applyBorder="1" applyProtection="1">
      <alignment horizontal="left" wrapText="1" indent="1"/>
    </xf>
    <xf numFmtId="170" fontId="3" fillId="2" borderId="1" xfId="162" applyNumberFormat="1" applyFont="1" applyFill="1" applyBorder="1" applyAlignment="1" applyProtection="1">
      <alignment horizontal="right"/>
    </xf>
    <xf numFmtId="170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168" fontId="2" fillId="2" borderId="0" xfId="0" applyNumberFormat="1" applyFont="1" applyFill="1" applyProtection="1">
      <protection locked="0"/>
    </xf>
    <xf numFmtId="168" fontId="1" fillId="2" borderId="0" xfId="0" applyNumberFormat="1" applyFont="1" applyFill="1" applyProtection="1">
      <protection locked="0"/>
    </xf>
    <xf numFmtId="0" fontId="4" fillId="2" borderId="1" xfId="157" applyNumberFormat="1" applyFont="1" applyFill="1" applyBorder="1" applyProtection="1">
      <alignment horizontal="left" wrapText="1"/>
    </xf>
    <xf numFmtId="170" fontId="3" fillId="2" borderId="1" xfId="165" applyNumberFormat="1" applyFont="1" applyFill="1" applyBorder="1" applyAlignment="1" applyProtection="1">
      <alignment horizontal="right"/>
    </xf>
    <xf numFmtId="0" fontId="3" fillId="2" borderId="1" xfId="9" applyNumberFormat="1" applyFont="1" applyFill="1" applyBorder="1" applyProtection="1">
      <alignment horizontal="left" wrapText="1"/>
    </xf>
    <xf numFmtId="0" fontId="3" fillId="2" borderId="1" xfId="10" applyNumberFormat="1" applyFont="1" applyFill="1" applyBorder="1" applyProtection="1">
      <alignment horizontal="left" wrapText="1"/>
    </xf>
    <xf numFmtId="0" fontId="3" fillId="2" borderId="1" xfId="11" applyNumberFormat="1" applyFont="1" applyFill="1" applyBorder="1" applyProtection="1">
      <alignment horizontal="left" wrapText="1" indent="1"/>
    </xf>
    <xf numFmtId="0" fontId="3" fillId="2" borderId="2" xfId="97" applyNumberFormat="1" applyFont="1" applyFill="1" applyBorder="1" applyAlignment="1" applyProtection="1">
      <alignment horizontal="center"/>
    </xf>
    <xf numFmtId="0" fontId="3" fillId="2" borderId="3" xfId="97" applyNumberFormat="1" applyFont="1" applyFill="1" applyBorder="1" applyAlignment="1" applyProtection="1">
      <alignment horizontal="center"/>
    </xf>
    <xf numFmtId="49" fontId="3" fillId="2" borderId="1" xfId="112" applyFont="1" applyFill="1" applyBorder="1" applyAlignment="1" applyProtection="1">
      <alignment horizontal="center"/>
    </xf>
    <xf numFmtId="49" fontId="3" fillId="2" borderId="1" xfId="99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0" xfId="96" applyNumberFormat="1" applyFont="1" applyFill="1" applyAlignment="1" applyProtection="1">
      <alignment horizontal="center" vertical="center"/>
    </xf>
    <xf numFmtId="0" fontId="3" fillId="2" borderId="1" xfId="97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58" xfId="0" applyFont="1" applyFill="1" applyBorder="1" applyProtection="1">
      <protection locked="0"/>
    </xf>
  </cellXfs>
  <cellStyles count="17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176" xfId="82"/>
    <cellStyle name="xl177" xfId="83"/>
    <cellStyle name="xl178" xfId="84"/>
    <cellStyle name="xl179" xfId="85"/>
    <cellStyle name="xl180" xfId="86"/>
    <cellStyle name="xl181" xfId="87"/>
    <cellStyle name="xl182" xfId="88"/>
    <cellStyle name="xl183" xfId="89"/>
    <cellStyle name="xl184" xfId="90"/>
    <cellStyle name="xl185" xfId="91"/>
    <cellStyle name="xl21" xfId="92"/>
    <cellStyle name="xl22" xfId="93"/>
    <cellStyle name="xl23" xfId="94"/>
    <cellStyle name="xl24" xfId="95"/>
    <cellStyle name="xl25" xfId="96"/>
    <cellStyle name="xl26" xfId="97"/>
    <cellStyle name="xl27" xfId="98"/>
    <cellStyle name="xl28" xfId="99"/>
    <cellStyle name="xl29" xfId="100"/>
    <cellStyle name="xl30" xfId="101"/>
    <cellStyle name="xl31" xfId="102"/>
    <cellStyle name="xl32" xfId="103"/>
    <cellStyle name="xl33" xfId="104"/>
    <cellStyle name="xl34" xfId="105"/>
    <cellStyle name="xl35" xfId="106"/>
    <cellStyle name="xl36" xfId="107"/>
    <cellStyle name="xl37" xfId="108"/>
    <cellStyle name="xl38" xfId="109"/>
    <cellStyle name="xl39" xfId="110"/>
    <cellStyle name="xl40" xfId="111"/>
    <cellStyle name="xl41" xfId="112"/>
    <cellStyle name="xl42" xfId="113"/>
    <cellStyle name="xl43" xfId="114"/>
    <cellStyle name="xl44" xfId="115"/>
    <cellStyle name="xl45" xfId="116"/>
    <cellStyle name="xl46" xfId="117"/>
    <cellStyle name="xl47" xfId="118"/>
    <cellStyle name="xl48" xfId="119"/>
    <cellStyle name="xl49" xfId="120"/>
    <cellStyle name="xl50" xfId="121"/>
    <cellStyle name="xl51" xfId="122"/>
    <cellStyle name="xl52" xfId="123"/>
    <cellStyle name="xl53" xfId="124"/>
    <cellStyle name="xl54" xfId="125"/>
    <cellStyle name="xl55" xfId="126"/>
    <cellStyle name="xl56" xfId="127"/>
    <cellStyle name="xl57" xfId="128"/>
    <cellStyle name="xl58" xfId="129"/>
    <cellStyle name="xl59" xfId="130"/>
    <cellStyle name="xl60" xfId="131"/>
    <cellStyle name="xl61" xfId="132"/>
    <cellStyle name="xl62" xfId="133"/>
    <cellStyle name="xl63" xfId="134"/>
    <cellStyle name="xl64" xfId="135"/>
    <cellStyle name="xl65" xfId="136"/>
    <cellStyle name="xl66" xfId="137"/>
    <cellStyle name="xl67" xfId="138"/>
    <cellStyle name="xl68" xfId="139"/>
    <cellStyle name="xl69" xfId="140"/>
    <cellStyle name="xl70" xfId="141"/>
    <cellStyle name="xl71" xfId="142"/>
    <cellStyle name="xl72" xfId="143"/>
    <cellStyle name="xl73" xfId="144"/>
    <cellStyle name="xl74" xfId="145"/>
    <cellStyle name="xl75" xfId="146"/>
    <cellStyle name="xl76" xfId="147"/>
    <cellStyle name="xl77" xfId="148"/>
    <cellStyle name="xl78" xfId="149"/>
    <cellStyle name="xl79" xfId="150"/>
    <cellStyle name="xl80" xfId="151"/>
    <cellStyle name="xl81" xfId="152"/>
    <cellStyle name="xl82" xfId="153"/>
    <cellStyle name="xl83" xfId="154"/>
    <cellStyle name="xl84" xfId="155"/>
    <cellStyle name="xl85" xfId="156"/>
    <cellStyle name="xl86" xfId="157"/>
    <cellStyle name="xl87" xfId="158"/>
    <cellStyle name="xl88" xfId="159"/>
    <cellStyle name="xl89" xfId="160"/>
    <cellStyle name="xl90" xfId="161"/>
    <cellStyle name="xl91" xfId="162"/>
    <cellStyle name="xl92" xfId="163"/>
    <cellStyle name="xl93" xfId="164"/>
    <cellStyle name="xl94" xfId="165"/>
    <cellStyle name="xl95" xfId="166"/>
    <cellStyle name="xl96" xfId="167"/>
    <cellStyle name="xl97" xfId="168"/>
    <cellStyle name="xl98" xfId="169"/>
    <cellStyle name="xl99" xfId="1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2"/>
  <sheetViews>
    <sheetView tabSelected="1" zoomScale="90" zoomScaleNormal="90" workbookViewId="0">
      <selection activeCell="L6" sqref="L6"/>
    </sheetView>
  </sheetViews>
  <sheetFormatPr defaultColWidth="9.140625" defaultRowHeight="18.75"/>
  <cols>
    <col min="1" max="1" width="74.85546875" style="2" customWidth="1"/>
    <col min="2" max="2" width="27.42578125" style="2" customWidth="1"/>
    <col min="3" max="3" width="28.7109375" style="2" customWidth="1"/>
    <col min="4" max="4" width="14.140625" style="2" customWidth="1"/>
    <col min="5" max="5" width="24.42578125" style="2" customWidth="1"/>
    <col min="6" max="6" width="26.140625" style="2" customWidth="1"/>
    <col min="7" max="7" width="9.140625" style="2" hidden="1" customWidth="1"/>
    <col min="8" max="8" width="17.140625" style="2" customWidth="1"/>
    <col min="9" max="9" width="19.5703125" style="2" customWidth="1"/>
    <col min="10" max="10" width="16.28515625" style="2" customWidth="1"/>
    <col min="11" max="11" width="22.85546875" style="2" customWidth="1"/>
    <col min="12" max="12" width="22.140625" style="2" customWidth="1"/>
    <col min="13" max="16384" width="9.140625" style="2"/>
  </cols>
  <sheetData>
    <row r="1" spans="1:1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1">
      <c r="A2" s="39"/>
      <c r="B2" s="39"/>
      <c r="C2" s="39"/>
      <c r="D2" s="39"/>
      <c r="E2" s="39"/>
      <c r="F2" s="39"/>
      <c r="G2" s="39"/>
      <c r="H2" s="39"/>
      <c r="I2" s="39"/>
      <c r="J2" s="39"/>
    </row>
    <row r="3" spans="1:11">
      <c r="A3" s="39"/>
      <c r="B3" s="39"/>
      <c r="C3" s="39"/>
      <c r="D3" s="39"/>
      <c r="E3" s="39"/>
      <c r="F3" s="39"/>
      <c r="G3" s="39"/>
      <c r="H3" s="39"/>
      <c r="I3" s="39"/>
      <c r="J3" s="39"/>
    </row>
    <row r="4" spans="1:11" ht="18.75" customHeight="1">
      <c r="A4" s="34" t="s">
        <v>1</v>
      </c>
      <c r="B4" s="31" t="s">
        <v>2</v>
      </c>
      <c r="C4" s="32"/>
      <c r="D4" s="32"/>
      <c r="E4" s="33" t="s">
        <v>3</v>
      </c>
      <c r="F4" s="33"/>
      <c r="G4" s="33"/>
      <c r="H4" s="33"/>
      <c r="I4" s="35" t="s">
        <v>4</v>
      </c>
      <c r="J4" s="36" t="s">
        <v>5</v>
      </c>
    </row>
    <row r="5" spans="1:11" ht="56.25">
      <c r="A5" s="34"/>
      <c r="B5" s="3" t="s">
        <v>6</v>
      </c>
      <c r="C5" s="4" t="s">
        <v>7</v>
      </c>
      <c r="D5" s="34" t="s">
        <v>8</v>
      </c>
      <c r="E5" s="5" t="s">
        <v>6</v>
      </c>
      <c r="F5" s="5" t="s">
        <v>7</v>
      </c>
      <c r="G5" s="6"/>
      <c r="H5" s="34" t="s">
        <v>9</v>
      </c>
      <c r="I5" s="35"/>
      <c r="J5" s="37"/>
    </row>
    <row r="6" spans="1:11" ht="199.15" customHeight="1">
      <c r="A6" s="34"/>
      <c r="B6" s="7" t="s">
        <v>10</v>
      </c>
      <c r="C6" s="8" t="s">
        <v>10</v>
      </c>
      <c r="D6" s="34"/>
      <c r="E6" s="9" t="s">
        <v>10</v>
      </c>
      <c r="F6" s="9" t="s">
        <v>10</v>
      </c>
      <c r="G6" s="6"/>
      <c r="H6" s="34"/>
      <c r="I6" s="35"/>
      <c r="J6" s="38"/>
    </row>
    <row r="7" spans="1:11">
      <c r="A7" s="5" t="s">
        <v>11</v>
      </c>
      <c r="B7" s="40">
        <v>3</v>
      </c>
      <c r="C7" s="41">
        <v>4</v>
      </c>
      <c r="D7" s="23" t="s">
        <v>12</v>
      </c>
      <c r="E7" s="10" t="s">
        <v>13</v>
      </c>
      <c r="F7" s="10" t="s">
        <v>14</v>
      </c>
      <c r="G7" s="11"/>
      <c r="H7" s="11">
        <v>8</v>
      </c>
      <c r="I7" s="23" t="s">
        <v>15</v>
      </c>
      <c r="J7" s="23" t="s">
        <v>16</v>
      </c>
    </row>
    <row r="8" spans="1:11">
      <c r="A8" s="12" t="s">
        <v>17</v>
      </c>
      <c r="B8" s="13">
        <f>34555145954.03/1000</f>
        <v>34555145.95403</v>
      </c>
      <c r="C8" s="13">
        <f>35291068034.1/1000</f>
        <v>35291068.034100004</v>
      </c>
      <c r="D8" s="13">
        <f>C8/B8*100</f>
        <v>102.129703289487</v>
      </c>
      <c r="E8" s="13">
        <f>32286533684.94/1000</f>
        <v>32286533.684939999</v>
      </c>
      <c r="F8" s="13">
        <f>32355955642.97/1000</f>
        <v>32355955.642969999</v>
      </c>
      <c r="G8" s="13">
        <f>F8/E8*100</f>
        <v>100.21501830672599</v>
      </c>
      <c r="H8" s="14">
        <f>F8/E8*100</f>
        <v>100.21501830672599</v>
      </c>
      <c r="I8" s="22">
        <f>C8-F8</f>
        <v>2935112.3911299999</v>
      </c>
      <c r="J8" s="22">
        <f>I8/F8</f>
        <v>9.0713203575790893E-2</v>
      </c>
      <c r="K8" s="24"/>
    </row>
    <row r="9" spans="1:11">
      <c r="A9" s="15" t="s">
        <v>18</v>
      </c>
      <c r="B9" s="16"/>
      <c r="C9" s="16"/>
      <c r="D9" s="13"/>
      <c r="E9" s="16"/>
      <c r="F9" s="16"/>
      <c r="G9" s="13"/>
      <c r="H9" s="14"/>
      <c r="I9" s="22"/>
      <c r="J9" s="22"/>
      <c r="K9" s="24"/>
    </row>
    <row r="10" spans="1:11">
      <c r="A10" s="17" t="s">
        <v>19</v>
      </c>
      <c r="B10" s="18">
        <f>675682100/1000</f>
        <v>675682.1</v>
      </c>
      <c r="C10" s="18">
        <f>702067091.44/1000</f>
        <v>702067.09143999999</v>
      </c>
      <c r="D10" s="13">
        <f t="shared" ref="D10:D73" si="0">C10/B10*100</f>
        <v>103.904941604935</v>
      </c>
      <c r="E10" s="18">
        <f>750482216.46/1000</f>
        <v>750482.21646000003</v>
      </c>
      <c r="F10" s="18">
        <f>689369944.77/1000</f>
        <v>689369.94476999994</v>
      </c>
      <c r="G10" s="13">
        <f t="shared" ref="G10:G13" si="1">F10/E10*100</f>
        <v>91.856932736092702</v>
      </c>
      <c r="H10" s="14">
        <f t="shared" ref="H10:H74" si="2">F10/E10*100</f>
        <v>91.856932736092702</v>
      </c>
      <c r="I10" s="22">
        <f t="shared" ref="I10:I74" si="3">C10-F10</f>
        <v>12697.1466700002</v>
      </c>
      <c r="J10" s="22">
        <f t="shared" ref="J10:J74" si="4">I10/F10</f>
        <v>1.8418480188074401E-2</v>
      </c>
      <c r="K10" s="24"/>
    </row>
    <row r="11" spans="1:11">
      <c r="A11" s="17" t="s">
        <v>20</v>
      </c>
      <c r="B11" s="18">
        <f>4503150000/1000</f>
        <v>4503150</v>
      </c>
      <c r="C11" s="18">
        <f>5252257629.59/1000</f>
        <v>5252257.62959</v>
      </c>
      <c r="D11" s="13">
        <f t="shared" si="0"/>
        <v>116.635191579006</v>
      </c>
      <c r="E11" s="18">
        <f>3990494600/1000</f>
        <v>3990494.6</v>
      </c>
      <c r="F11" s="18">
        <f>4535353630.76/1000</f>
        <v>4535353.6307600001</v>
      </c>
      <c r="G11" s="13">
        <f t="shared" si="1"/>
        <v>113.65392226717999</v>
      </c>
      <c r="H11" s="14">
        <f t="shared" si="2"/>
        <v>113.65392226717999</v>
      </c>
      <c r="I11" s="22">
        <f t="shared" si="3"/>
        <v>716903.99883000006</v>
      </c>
      <c r="J11" s="22">
        <f t="shared" si="4"/>
        <v>0.15807014341015499</v>
      </c>
      <c r="K11" s="24"/>
    </row>
    <row r="12" spans="1:11">
      <c r="A12" s="17" t="s">
        <v>21</v>
      </c>
      <c r="B12" s="18">
        <f>2100000/1000</f>
        <v>2100</v>
      </c>
      <c r="C12" s="18">
        <f>2344364.58/1000</f>
        <v>2344.3645799999999</v>
      </c>
      <c r="D12" s="13">
        <f t="shared" si="0"/>
        <v>111.636408571429</v>
      </c>
      <c r="E12" s="18">
        <f>2150000/1000</f>
        <v>2150</v>
      </c>
      <c r="F12" s="18">
        <f>2348495.14/1000</f>
        <v>2348.49514</v>
      </c>
      <c r="G12" s="13">
        <f t="shared" si="1"/>
        <v>109.232332093023</v>
      </c>
      <c r="H12" s="14">
        <f t="shared" si="2"/>
        <v>109.232332093023</v>
      </c>
      <c r="I12" s="22">
        <f t="shared" si="3"/>
        <v>-4.1305600000000604</v>
      </c>
      <c r="J12" s="22">
        <f t="shared" si="4"/>
        <v>-1.7588113893223E-3</v>
      </c>
    </row>
    <row r="13" spans="1:11">
      <c r="A13" s="17" t="s">
        <v>22</v>
      </c>
      <c r="B13" s="18">
        <f>6623352800/1000</f>
        <v>6623352.7999999998</v>
      </c>
      <c r="C13" s="18">
        <f>7388969163.42/1000</f>
        <v>7388969.1634200001</v>
      </c>
      <c r="D13" s="13">
        <f t="shared" si="0"/>
        <v>111.55934745647301</v>
      </c>
      <c r="E13" s="18">
        <f>6257510000/1000</f>
        <v>6257510</v>
      </c>
      <c r="F13" s="18">
        <f>6323291026.66/1000</f>
        <v>6323291.02666</v>
      </c>
      <c r="G13" s="13">
        <f t="shared" si="1"/>
        <v>101.05123326466899</v>
      </c>
      <c r="H13" s="14">
        <f t="shared" si="2"/>
        <v>101.05123326466899</v>
      </c>
      <c r="I13" s="22">
        <f t="shared" si="3"/>
        <v>1065678.1367599999</v>
      </c>
      <c r="J13" s="22">
        <f t="shared" si="4"/>
        <v>0.16853219822825399</v>
      </c>
    </row>
    <row r="14" spans="1:11">
      <c r="A14" s="17" t="s">
        <v>23</v>
      </c>
      <c r="B14" s="18">
        <f>0/1000</f>
        <v>0</v>
      </c>
      <c r="C14" s="18">
        <f>0/1000</f>
        <v>0</v>
      </c>
      <c r="D14" s="13">
        <v>0</v>
      </c>
      <c r="E14" s="18">
        <v>0</v>
      </c>
      <c r="F14" s="18">
        <v>0</v>
      </c>
      <c r="G14" s="13">
        <v>0</v>
      </c>
      <c r="H14" s="14">
        <v>0</v>
      </c>
      <c r="I14" s="22">
        <f t="shared" si="3"/>
        <v>0</v>
      </c>
      <c r="J14" s="22">
        <v>0</v>
      </c>
    </row>
    <row r="15" spans="1:11">
      <c r="A15" s="17" t="s">
        <v>24</v>
      </c>
      <c r="B15" s="18">
        <f>730000+154195300/1000</f>
        <v>884195.3</v>
      </c>
      <c r="C15" s="18">
        <f>1505000+261297197.56/1000</f>
        <v>1766297.19756</v>
      </c>
      <c r="D15" s="13">
        <f t="shared" si="0"/>
        <v>199.76324207559099</v>
      </c>
      <c r="E15" s="18">
        <f>119080000/1000</f>
        <v>119080</v>
      </c>
      <c r="F15" s="18">
        <f>139790221.33/1000</f>
        <v>139790.22133</v>
      </c>
      <c r="G15" s="13">
        <f t="shared" ref="G15" si="5">F15/E15*100</f>
        <v>117.39185533254999</v>
      </c>
      <c r="H15" s="14">
        <f t="shared" si="2"/>
        <v>117.39185533254999</v>
      </c>
      <c r="I15" s="22">
        <f t="shared" si="3"/>
        <v>1626506.9762299999</v>
      </c>
      <c r="J15" s="22">
        <f t="shared" si="4"/>
        <v>11.635341590813701</v>
      </c>
    </row>
    <row r="16" spans="1:11" ht="56.25">
      <c r="A16" s="17" t="s">
        <v>25</v>
      </c>
      <c r="B16" s="18">
        <f>0/1000</f>
        <v>0</v>
      </c>
      <c r="C16" s="18">
        <f>0/1000</f>
        <v>0</v>
      </c>
      <c r="D16" s="13">
        <v>0</v>
      </c>
      <c r="E16" s="18">
        <v>0</v>
      </c>
      <c r="F16" s="18">
        <v>0</v>
      </c>
      <c r="G16" s="14"/>
      <c r="H16" s="14">
        <v>0</v>
      </c>
      <c r="I16" s="22">
        <f t="shared" si="3"/>
        <v>0</v>
      </c>
      <c r="J16" s="22">
        <v>0</v>
      </c>
    </row>
    <row r="17" spans="1:11" ht="56.25">
      <c r="A17" s="17" t="s">
        <v>26</v>
      </c>
      <c r="B17" s="18">
        <f>305236700/1000</f>
        <v>305236.7</v>
      </c>
      <c r="C17" s="18">
        <f>395405740.76/1000</f>
        <v>395405.74076000002</v>
      </c>
      <c r="D17" s="13">
        <f t="shared" si="0"/>
        <v>129.54069440535801</v>
      </c>
      <c r="E17" s="18">
        <f>282501500/1000</f>
        <v>282501.5</v>
      </c>
      <c r="F17" s="18">
        <f>298820007.34/1000</f>
        <v>298820.00734000001</v>
      </c>
      <c r="G17" s="13">
        <f t="shared" ref="G17:G23" si="6">F17/E17*100</f>
        <v>105.77643210390001</v>
      </c>
      <c r="H17" s="14">
        <f t="shared" si="2"/>
        <v>105.77643210390001</v>
      </c>
      <c r="I17" s="22">
        <f t="shared" si="3"/>
        <v>96585.733420000106</v>
      </c>
      <c r="J17" s="22">
        <f t="shared" si="4"/>
        <v>0.32322378370770899</v>
      </c>
    </row>
    <row r="18" spans="1:11" ht="37.5">
      <c r="A18" s="17" t="s">
        <v>27</v>
      </c>
      <c r="B18" s="18">
        <f>27500000/1000</f>
        <v>27500</v>
      </c>
      <c r="C18" s="18">
        <f>31061466.06/1000</f>
        <v>31061.466059999999</v>
      </c>
      <c r="D18" s="13">
        <f t="shared" si="0"/>
        <v>112.95078567272699</v>
      </c>
      <c r="E18" s="18">
        <f>27370000/1000</f>
        <v>27370</v>
      </c>
      <c r="F18" s="18">
        <f>27108835.86/1000</f>
        <v>27108.835859999999</v>
      </c>
      <c r="G18" s="13">
        <f t="shared" si="6"/>
        <v>99.045801461454104</v>
      </c>
      <c r="H18" s="14">
        <f t="shared" si="2"/>
        <v>99.045801461454104</v>
      </c>
      <c r="I18" s="22">
        <f t="shared" si="3"/>
        <v>3952.6302000000001</v>
      </c>
      <c r="J18" s="22">
        <f t="shared" si="4"/>
        <v>0.14580597338863399</v>
      </c>
    </row>
    <row r="19" spans="1:11" ht="37.5">
      <c r="A19" s="17" t="s">
        <v>28</v>
      </c>
      <c r="B19" s="18">
        <f>20990100/1000</f>
        <v>20990.1</v>
      </c>
      <c r="C19" s="18">
        <f>23244067.13/1000</f>
        <v>23244.067129999999</v>
      </c>
      <c r="D19" s="13">
        <f t="shared" si="0"/>
        <v>110.73823912225301</v>
      </c>
      <c r="E19" s="18">
        <f>18350600/1000</f>
        <v>18350.599999999999</v>
      </c>
      <c r="F19" s="18">
        <f>20200823.96/1000</f>
        <v>20200.823960000002</v>
      </c>
      <c r="G19" s="13">
        <f t="shared" si="6"/>
        <v>110.082634682245</v>
      </c>
      <c r="H19" s="14">
        <f t="shared" si="2"/>
        <v>110.082634682245</v>
      </c>
      <c r="I19" s="22">
        <f t="shared" si="3"/>
        <v>3043.2431700000002</v>
      </c>
      <c r="J19" s="22">
        <f t="shared" si="4"/>
        <v>0.150649457468961</v>
      </c>
    </row>
    <row r="20" spans="1:11" ht="37.5">
      <c r="A20" s="17" t="s">
        <v>29</v>
      </c>
      <c r="B20" s="18">
        <f>366000000/1000</f>
        <v>366000</v>
      </c>
      <c r="C20" s="18">
        <f>391595613.85/1000</f>
        <v>391595.61385000002</v>
      </c>
      <c r="D20" s="13">
        <f t="shared" si="0"/>
        <v>106.99333711748601</v>
      </c>
      <c r="E20" s="18">
        <f>415130000/1000</f>
        <v>415130</v>
      </c>
      <c r="F20" s="18">
        <f>396309586.51/1000</f>
        <v>396309.58650999999</v>
      </c>
      <c r="G20" s="13">
        <f t="shared" si="6"/>
        <v>95.4663807746971</v>
      </c>
      <c r="H20" s="14">
        <f t="shared" si="2"/>
        <v>95.4663807746971</v>
      </c>
      <c r="I20" s="22">
        <f t="shared" si="3"/>
        <v>-4713.9726599999703</v>
      </c>
      <c r="J20" s="22">
        <f t="shared" si="4"/>
        <v>-1.18946722977669E-2</v>
      </c>
    </row>
    <row r="21" spans="1:11">
      <c r="A21" s="17" t="s">
        <v>30</v>
      </c>
      <c r="B21" s="18">
        <f>15520000/1000</f>
        <v>15520</v>
      </c>
      <c r="C21" s="18">
        <f>16951237.62/1000</f>
        <v>16951.23762</v>
      </c>
      <c r="D21" s="13">
        <f t="shared" si="0"/>
        <v>109.221891881443</v>
      </c>
      <c r="E21" s="18">
        <f>6900000/1000</f>
        <v>6900</v>
      </c>
      <c r="F21" s="18">
        <f>19937685.09/1000</f>
        <v>19937.685089999999</v>
      </c>
      <c r="G21" s="13">
        <f t="shared" si="6"/>
        <v>288.95195782608698</v>
      </c>
      <c r="H21" s="14">
        <f t="shared" si="2"/>
        <v>288.95195782608698</v>
      </c>
      <c r="I21" s="22">
        <f t="shared" si="3"/>
        <v>-2986.4474700000001</v>
      </c>
      <c r="J21" s="22">
        <f t="shared" si="4"/>
        <v>-0.149789078146183</v>
      </c>
    </row>
    <row r="22" spans="1:11">
      <c r="A22" s="17" t="s">
        <v>31</v>
      </c>
      <c r="B22" s="18">
        <f>930000/1000</f>
        <v>930</v>
      </c>
      <c r="C22" s="18">
        <f>6574837.69/1000</f>
        <v>6574.8376900000003</v>
      </c>
      <c r="D22" s="13">
        <f t="shared" si="0"/>
        <v>706.97179462365602</v>
      </c>
      <c r="E22" s="18">
        <f>30810000/1000</f>
        <v>30810</v>
      </c>
      <c r="F22" s="18">
        <f>30810000/1000</f>
        <v>30810</v>
      </c>
      <c r="G22" s="13">
        <f t="shared" si="6"/>
        <v>100</v>
      </c>
      <c r="H22" s="14">
        <f t="shared" si="2"/>
        <v>100</v>
      </c>
      <c r="I22" s="22">
        <f t="shared" si="3"/>
        <v>-24235.16231</v>
      </c>
      <c r="J22" s="22">
        <f t="shared" si="4"/>
        <v>-0.78660052937358005</v>
      </c>
    </row>
    <row r="23" spans="1:11">
      <c r="A23" s="17" t="s">
        <v>32</v>
      </c>
      <c r="B23" s="18">
        <f t="shared" ref="B23:B25" si="7">22547901054.03/1000</f>
        <v>22547901.054030001</v>
      </c>
      <c r="C23" s="18">
        <f>21543753519.42/1000</f>
        <v>21543753.519420002</v>
      </c>
      <c r="D23" s="13">
        <f t="shared" si="0"/>
        <v>95.546603064277093</v>
      </c>
      <c r="E23" s="18">
        <f>21136236984.94/1000</f>
        <v>21136236.98494</v>
      </c>
      <c r="F23" s="18">
        <f>20494680549.24/1000</f>
        <v>20494680.549240001</v>
      </c>
      <c r="G23" s="13">
        <f t="shared" si="6"/>
        <v>96.964661040860193</v>
      </c>
      <c r="H23" s="14">
        <f t="shared" si="2"/>
        <v>96.964661040860193</v>
      </c>
      <c r="I23" s="22">
        <f t="shared" si="3"/>
        <v>1049072.9701799999</v>
      </c>
      <c r="J23" s="22">
        <f t="shared" si="4"/>
        <v>5.11875736564677E-2</v>
      </c>
    </row>
    <row r="24" spans="1:11" ht="37.5">
      <c r="A24" s="17" t="s">
        <v>33</v>
      </c>
      <c r="B24" s="18">
        <f>0/1000</f>
        <v>0</v>
      </c>
      <c r="C24" s="18">
        <f>0/1000</f>
        <v>0</v>
      </c>
      <c r="D24" s="13">
        <v>0</v>
      </c>
      <c r="E24" s="18">
        <v>0</v>
      </c>
      <c r="F24" s="18">
        <v>0</v>
      </c>
      <c r="G24" s="14"/>
      <c r="H24" s="14">
        <v>0</v>
      </c>
      <c r="I24" s="22">
        <f t="shared" si="3"/>
        <v>0</v>
      </c>
      <c r="J24" s="22">
        <v>0</v>
      </c>
    </row>
    <row r="25" spans="1:11" ht="56.25">
      <c r="A25" s="17" t="s">
        <v>34</v>
      </c>
      <c r="B25" s="18">
        <f t="shared" si="7"/>
        <v>22547901.054030001</v>
      </c>
      <c r="C25" s="18">
        <f>21630830457.81/1000</f>
        <v>21630830.45781</v>
      </c>
      <c r="D25" s="13">
        <f>C25/B25*100</f>
        <v>95.932789513212398</v>
      </c>
      <c r="E25" s="18">
        <f>21136236984.94/1000</f>
        <v>21136236.98494</v>
      </c>
      <c r="F25" s="18">
        <f>20569180685.33/1000</f>
        <v>20569180.68533</v>
      </c>
      <c r="G25" s="13">
        <f t="shared" ref="G25" si="8">F25/E25*100</f>
        <v>97.317136915080795</v>
      </c>
      <c r="H25" s="14">
        <f t="shared" si="2"/>
        <v>97.317136915080795</v>
      </c>
      <c r="I25" s="22">
        <f t="shared" si="3"/>
        <v>1061649.77248</v>
      </c>
      <c r="J25" s="22">
        <f t="shared" si="4"/>
        <v>5.16136149864816E-2</v>
      </c>
    </row>
    <row r="26" spans="1:11">
      <c r="A26" s="17" t="s">
        <v>35</v>
      </c>
      <c r="B26" s="18">
        <f>0/1000</f>
        <v>0</v>
      </c>
      <c r="C26" s="18">
        <f>549603.42/1000</f>
        <v>549.60342000000003</v>
      </c>
      <c r="D26" s="13">
        <v>0</v>
      </c>
      <c r="E26" s="18">
        <f t="shared" ref="E26:E28" si="9">0/1000</f>
        <v>0</v>
      </c>
      <c r="F26" s="18">
        <f>7089900/1000</f>
        <v>7089.9</v>
      </c>
      <c r="G26" s="13">
        <v>0</v>
      </c>
      <c r="H26" s="14">
        <v>0</v>
      </c>
      <c r="I26" s="22">
        <f t="shared" si="3"/>
        <v>-6540.2965800000002</v>
      </c>
      <c r="J26" s="22">
        <f t="shared" si="4"/>
        <v>-0.92248079380527204</v>
      </c>
      <c r="K26" s="24"/>
    </row>
    <row r="27" spans="1:11" ht="131.25">
      <c r="A27" s="17" t="s">
        <v>36</v>
      </c>
      <c r="B27" s="18">
        <v>0</v>
      </c>
      <c r="C27" s="18">
        <f>2605255.9/1000</f>
        <v>2605.2559000000001</v>
      </c>
      <c r="D27" s="13">
        <v>0</v>
      </c>
      <c r="E27" s="18">
        <f t="shared" si="9"/>
        <v>0</v>
      </c>
      <c r="F27" s="18">
        <f>1749873.2/1000</f>
        <v>1749.8732</v>
      </c>
      <c r="G27" s="13">
        <v>0</v>
      </c>
      <c r="H27" s="14">
        <v>0</v>
      </c>
      <c r="I27" s="22">
        <f t="shared" si="3"/>
        <v>855.3827</v>
      </c>
      <c r="J27" s="22">
        <f t="shared" si="4"/>
        <v>0.48882553318720501</v>
      </c>
      <c r="K27" s="24"/>
    </row>
    <row r="28" spans="1:11" ht="56.25">
      <c r="A28" s="17" t="s">
        <v>37</v>
      </c>
      <c r="B28" s="18">
        <f>0/1000</f>
        <v>0</v>
      </c>
      <c r="C28" s="18">
        <f>-88379566.34/1000</f>
        <v>-88379.566340000005</v>
      </c>
      <c r="D28" s="13">
        <v>0</v>
      </c>
      <c r="E28" s="18">
        <f t="shared" si="9"/>
        <v>0</v>
      </c>
      <c r="F28" s="18">
        <f>84469972.69/1000</f>
        <v>84469.972689999995</v>
      </c>
      <c r="G28" s="13">
        <v>0</v>
      </c>
      <c r="H28" s="14">
        <v>0</v>
      </c>
      <c r="I28" s="22">
        <f t="shared" si="3"/>
        <v>-172849.53903000001</v>
      </c>
      <c r="J28" s="22">
        <f t="shared" si="4"/>
        <v>-2.04628382756021</v>
      </c>
    </row>
    <row r="29" spans="1:11" s="1" customFormat="1">
      <c r="A29" s="19" t="s">
        <v>38</v>
      </c>
      <c r="B29" s="18">
        <f>37253392504.52/1000</f>
        <v>37253392.504519999</v>
      </c>
      <c r="C29" s="18">
        <f>35466200792.23/1000</f>
        <v>35466200.792230003</v>
      </c>
      <c r="D29" s="13">
        <f t="shared" si="0"/>
        <v>95.202606817424297</v>
      </c>
      <c r="E29" s="18">
        <f>32886311712.87/1000</f>
        <v>32886311.712870002</v>
      </c>
      <c r="F29" s="18">
        <f>31305665394.85/1000</f>
        <v>31305665.394850001</v>
      </c>
      <c r="G29" s="13">
        <f t="shared" ref="G29" si="10">F29/E29*100</f>
        <v>95.193604160233605</v>
      </c>
      <c r="H29" s="14">
        <f t="shared" si="2"/>
        <v>95.193604160233605</v>
      </c>
      <c r="I29" s="22">
        <f t="shared" si="3"/>
        <v>4160535.3973800102</v>
      </c>
      <c r="J29" s="22">
        <f t="shared" si="4"/>
        <v>0.13290039821560401</v>
      </c>
    </row>
    <row r="30" spans="1:11" s="1" customFormat="1">
      <c r="A30" s="20" t="s">
        <v>18</v>
      </c>
      <c r="B30" s="21"/>
      <c r="C30" s="21"/>
      <c r="D30" s="13"/>
      <c r="E30" s="21"/>
      <c r="F30" s="21"/>
      <c r="G30" s="13"/>
      <c r="H30" s="14"/>
      <c r="I30" s="22"/>
      <c r="J30" s="22"/>
    </row>
    <row r="31" spans="1:11" s="1" customFormat="1">
      <c r="A31" s="17" t="s">
        <v>39</v>
      </c>
      <c r="B31" s="18">
        <f>2212717311.36/1000</f>
        <v>2212717.3113600002</v>
      </c>
      <c r="C31" s="18">
        <f>1805029370.64/1000</f>
        <v>1805029.3706400001</v>
      </c>
      <c r="D31" s="13">
        <f t="shared" si="0"/>
        <v>81.575236085199506</v>
      </c>
      <c r="E31" s="18">
        <f>1503449406.05/1000</f>
        <v>1503449.4060500001</v>
      </c>
      <c r="F31" s="18">
        <f>1147968535.77/1000</f>
        <v>1147968.53577</v>
      </c>
      <c r="G31" s="13">
        <f t="shared" ref="G31" si="11">F31/E31*100</f>
        <v>76.355647961978903</v>
      </c>
      <c r="H31" s="14">
        <f t="shared" si="2"/>
        <v>76.355647961978903</v>
      </c>
      <c r="I31" s="22">
        <f t="shared" si="3"/>
        <v>657060.83487000002</v>
      </c>
      <c r="J31" s="22">
        <f t="shared" si="4"/>
        <v>0.57236833100941797</v>
      </c>
      <c r="K31" s="25"/>
    </row>
    <row r="32" spans="1:11" s="1" customFormat="1" ht="56.25">
      <c r="A32" s="17" t="s">
        <v>40</v>
      </c>
      <c r="B32" s="18">
        <f>0/1000</f>
        <v>0</v>
      </c>
      <c r="C32" s="18">
        <f>0/1000</f>
        <v>0</v>
      </c>
      <c r="D32" s="13">
        <v>0</v>
      </c>
      <c r="E32" s="18">
        <v>0</v>
      </c>
      <c r="F32" s="18">
        <v>0</v>
      </c>
      <c r="G32" s="22"/>
      <c r="H32" s="14">
        <v>0</v>
      </c>
      <c r="I32" s="22">
        <f t="shared" si="3"/>
        <v>0</v>
      </c>
      <c r="J32" s="22">
        <v>0</v>
      </c>
      <c r="K32" s="25"/>
    </row>
    <row r="33" spans="1:11" s="1" customFormat="1" ht="56.25">
      <c r="A33" s="17" t="s">
        <v>41</v>
      </c>
      <c r="B33" s="18">
        <f>37236990.48/1000</f>
        <v>37236.99048</v>
      </c>
      <c r="C33" s="18">
        <f>35441178.7/1000</f>
        <v>35441.178699999997</v>
      </c>
      <c r="D33" s="13">
        <f t="shared" si="0"/>
        <v>95.1773444715826</v>
      </c>
      <c r="E33" s="18">
        <f>29688898/1000</f>
        <v>29688.898000000001</v>
      </c>
      <c r="F33" s="18">
        <f>28056992.71/1000</f>
        <v>28056.992709999999</v>
      </c>
      <c r="G33" s="13">
        <f t="shared" ref="G33:G36" si="12">F33/E33*100</f>
        <v>94.503314707066593</v>
      </c>
      <c r="H33" s="14">
        <f t="shared" si="2"/>
        <v>94.503314707066593</v>
      </c>
      <c r="I33" s="22">
        <f t="shared" si="3"/>
        <v>7384.1859899999999</v>
      </c>
      <c r="J33" s="22">
        <f>I33/F33</f>
        <v>0.26318522681043199</v>
      </c>
      <c r="K33" s="25"/>
    </row>
    <row r="34" spans="1:11" s="1" customFormat="1" ht="75">
      <c r="A34" s="17" t="s">
        <v>42</v>
      </c>
      <c r="B34" s="18">
        <f>532800721.34/1000</f>
        <v>532800.72134000005</v>
      </c>
      <c r="C34" s="18">
        <f>504731440.52/1000</f>
        <v>504731.44052</v>
      </c>
      <c r="D34" s="13">
        <f t="shared" si="0"/>
        <v>94.731748720346104</v>
      </c>
      <c r="E34" s="18">
        <f>46904322.36/1000</f>
        <v>46904.322359999998</v>
      </c>
      <c r="F34" s="18">
        <f>428620845.26/1000</f>
        <v>428620.84525999997</v>
      </c>
      <c r="G34" s="13">
        <f t="shared" si="12"/>
        <v>913.81950254019205</v>
      </c>
      <c r="H34" s="14">
        <f t="shared" si="2"/>
        <v>913.81950254019205</v>
      </c>
      <c r="I34" s="22">
        <f t="shared" si="3"/>
        <v>76110.595260000002</v>
      </c>
      <c r="J34" s="22">
        <f t="shared" si="4"/>
        <v>0.17757091401803299</v>
      </c>
    </row>
    <row r="35" spans="1:11" s="1" customFormat="1">
      <c r="A35" s="17" t="s">
        <v>43</v>
      </c>
      <c r="B35" s="18">
        <f>230000/1000</f>
        <v>230</v>
      </c>
      <c r="C35" s="18">
        <f>113790/1000</f>
        <v>113.79</v>
      </c>
      <c r="D35" s="13">
        <f t="shared" si="0"/>
        <v>49.473913043478298</v>
      </c>
      <c r="E35" s="18">
        <f>145500/1000</f>
        <v>145.5</v>
      </c>
      <c r="F35" s="18">
        <f>38680/1000</f>
        <v>38.68</v>
      </c>
      <c r="G35" s="13">
        <f t="shared" si="12"/>
        <v>26.584192439862498</v>
      </c>
      <c r="H35" s="14">
        <f t="shared" si="2"/>
        <v>26.584192439862498</v>
      </c>
      <c r="I35" s="22">
        <f t="shared" si="3"/>
        <v>75.11</v>
      </c>
      <c r="J35" s="22">
        <f t="shared" si="4"/>
        <v>1.9418304033092</v>
      </c>
    </row>
    <row r="36" spans="1:11" s="1" customFormat="1" ht="56.25">
      <c r="A36" s="17" t="s">
        <v>44</v>
      </c>
      <c r="B36" s="18">
        <f>104963434.17/1000</f>
        <v>104963.43416999999</v>
      </c>
      <c r="C36" s="18">
        <f>103968107.21/1000</f>
        <v>103968.10721</v>
      </c>
      <c r="D36" s="13">
        <f t="shared" si="0"/>
        <v>99.051739333920807</v>
      </c>
      <c r="E36" s="18">
        <f>93260090.68/1000</f>
        <v>93260.090679999994</v>
      </c>
      <c r="F36" s="18">
        <f>90735742.26/1000</f>
        <v>90735.742259999999</v>
      </c>
      <c r="G36" s="13">
        <f t="shared" si="12"/>
        <v>97.293216850215501</v>
      </c>
      <c r="H36" s="14">
        <f t="shared" si="2"/>
        <v>97.293216850215501</v>
      </c>
      <c r="I36" s="22">
        <f t="shared" si="3"/>
        <v>13232.364949999999</v>
      </c>
      <c r="J36" s="22">
        <f t="shared" si="4"/>
        <v>0.145834096028918</v>
      </c>
    </row>
    <row r="37" spans="1:11" s="1" customFormat="1">
      <c r="A37" s="17" t="s">
        <v>45</v>
      </c>
      <c r="B37" s="18">
        <f>0/1000</f>
        <v>0</v>
      </c>
      <c r="C37" s="18">
        <f>0/1000</f>
        <v>0</v>
      </c>
      <c r="D37" s="13">
        <v>0</v>
      </c>
      <c r="E37" s="18">
        <f>300000/1000</f>
        <v>300</v>
      </c>
      <c r="F37" s="18">
        <f>247000/1000</f>
        <v>247</v>
      </c>
      <c r="G37" s="22"/>
      <c r="H37" s="14">
        <f t="shared" si="2"/>
        <v>82.3333333333333</v>
      </c>
      <c r="I37" s="22">
        <f t="shared" si="3"/>
        <v>-247</v>
      </c>
      <c r="J37" s="22">
        <f t="shared" si="4"/>
        <v>-1</v>
      </c>
    </row>
    <row r="38" spans="1:11" s="1" customFormat="1">
      <c r="A38" s="17" t="s">
        <v>46</v>
      </c>
      <c r="B38" s="18">
        <f>316809129.5/1000</f>
        <v>316809.12949999998</v>
      </c>
      <c r="C38" s="18">
        <f>0/1000</f>
        <v>0</v>
      </c>
      <c r="D38" s="13">
        <f>C38/B38*100</f>
        <v>0</v>
      </c>
      <c r="E38" s="18">
        <f>228356400.67/1000</f>
        <v>228356.40067</v>
      </c>
      <c r="F38" s="18">
        <f>0/1000</f>
        <v>0</v>
      </c>
      <c r="G38" s="13">
        <f t="shared" ref="G38:G39" si="13">F38/E38*100</f>
        <v>0</v>
      </c>
      <c r="H38" s="14">
        <f t="shared" si="2"/>
        <v>0</v>
      </c>
      <c r="I38" s="22">
        <f t="shared" si="3"/>
        <v>0</v>
      </c>
      <c r="J38" s="22">
        <v>0</v>
      </c>
    </row>
    <row r="39" spans="1:11" s="1" customFormat="1">
      <c r="A39" s="17" t="s">
        <v>47</v>
      </c>
      <c r="B39" s="18">
        <f>1211616475.13/1000</f>
        <v>1211616.4751299999</v>
      </c>
      <c r="C39" s="18">
        <f>1152193539.33/1000</f>
        <v>1152193.5393300001</v>
      </c>
      <c r="D39" s="13">
        <f t="shared" si="0"/>
        <v>95.095565550672703</v>
      </c>
      <c r="E39" s="18">
        <f>681794194.34/1000</f>
        <v>681794.19434000005</v>
      </c>
      <c r="F39" s="18">
        <f>600269275.54/1000</f>
        <v>600269.27553999994</v>
      </c>
      <c r="G39" s="13">
        <f t="shared" si="13"/>
        <v>88.042591228146307</v>
      </c>
      <c r="H39" s="14">
        <f t="shared" si="2"/>
        <v>88.042591228146307</v>
      </c>
      <c r="I39" s="22">
        <f t="shared" si="3"/>
        <v>551924.26379</v>
      </c>
      <c r="J39" s="22">
        <f t="shared" si="4"/>
        <v>0.91946112566479599</v>
      </c>
    </row>
    <row r="40" spans="1:11" s="1" customFormat="1">
      <c r="A40" s="17" t="s">
        <v>48</v>
      </c>
      <c r="B40" s="18">
        <f>1712567.4/1000</f>
        <v>1712.5673999999999</v>
      </c>
      <c r="C40" s="18">
        <f>1712567.4/1000</f>
        <v>1712.5673999999999</v>
      </c>
      <c r="D40" s="13">
        <f t="shared" si="0"/>
        <v>100</v>
      </c>
      <c r="E40" s="18">
        <f>293626853.73/1000</f>
        <v>293626.85372999997</v>
      </c>
      <c r="F40" s="18">
        <f>225097808.64/1000</f>
        <v>225097.80864</v>
      </c>
      <c r="G40" s="22"/>
      <c r="H40" s="14">
        <v>0</v>
      </c>
      <c r="I40" s="22">
        <f t="shared" si="3"/>
        <v>-223385.24124</v>
      </c>
      <c r="J40" s="22">
        <f t="shared" si="4"/>
        <v>-0.99239189661442295</v>
      </c>
    </row>
    <row r="41" spans="1:11" s="1" customFormat="1">
      <c r="A41" s="17" t="s">
        <v>49</v>
      </c>
      <c r="B41" s="18">
        <f>1712567.4/1000</f>
        <v>1712.5673999999999</v>
      </c>
      <c r="C41" s="18">
        <f>1712567.4/1000</f>
        <v>1712.5673999999999</v>
      </c>
      <c r="D41" s="13">
        <f t="shared" si="0"/>
        <v>100</v>
      </c>
      <c r="E41" s="18">
        <f>293626853.73/1000</f>
        <v>293626.85372999997</v>
      </c>
      <c r="F41" s="18">
        <f>225097808.64/1000</f>
        <v>225097.80864</v>
      </c>
      <c r="G41" s="22"/>
      <c r="H41" s="14">
        <v>0</v>
      </c>
      <c r="I41" s="22">
        <f t="shared" si="3"/>
        <v>-223385.24124</v>
      </c>
      <c r="J41" s="22">
        <f t="shared" si="4"/>
        <v>-0.99239189661442295</v>
      </c>
    </row>
    <row r="42" spans="1:11" s="1" customFormat="1" ht="37.5">
      <c r="A42" s="17" t="s">
        <v>50</v>
      </c>
      <c r="B42" s="18">
        <f>109138143.06/1000</f>
        <v>109138.14306</v>
      </c>
      <c r="C42" s="18">
        <f>109138143.06/1000</f>
        <v>109138.14306</v>
      </c>
      <c r="D42" s="13">
        <f t="shared" si="0"/>
        <v>100</v>
      </c>
      <c r="E42" s="18">
        <f>80333733.33/1000</f>
        <v>80333.733330000003</v>
      </c>
      <c r="F42" s="18">
        <f>59870526.55/1000</f>
        <v>59870.526550000002</v>
      </c>
      <c r="G42" s="13">
        <f t="shared" ref="G42:G43" si="14">F42/E42*100</f>
        <v>74.527255323812795</v>
      </c>
      <c r="H42" s="14">
        <f t="shared" si="2"/>
        <v>74.527255323812795</v>
      </c>
      <c r="I42" s="22">
        <f t="shared" si="3"/>
        <v>49267.61651</v>
      </c>
      <c r="J42" s="22">
        <f t="shared" si="4"/>
        <v>0.82290267597454403</v>
      </c>
    </row>
    <row r="43" spans="1:11" s="1" customFormat="1" ht="56.25">
      <c r="A43" s="17" t="s">
        <v>51</v>
      </c>
      <c r="B43" s="18">
        <f>9920000/1000</f>
        <v>9920</v>
      </c>
      <c r="C43" s="18">
        <f>9920000/1000</f>
        <v>9920</v>
      </c>
      <c r="D43" s="13">
        <f t="shared" si="0"/>
        <v>100</v>
      </c>
      <c r="E43" s="18">
        <f>7074500/1000</f>
        <v>7074.5</v>
      </c>
      <c r="F43" s="18">
        <f>7067873.65/1000</f>
        <v>7067.8736500000005</v>
      </c>
      <c r="G43" s="13">
        <f t="shared" si="14"/>
        <v>99.906334723301995</v>
      </c>
      <c r="H43" s="14">
        <f t="shared" si="2"/>
        <v>99.906334723301995</v>
      </c>
      <c r="I43" s="22">
        <f t="shared" si="3"/>
        <v>2852.12635</v>
      </c>
      <c r="J43" s="22">
        <f t="shared" si="4"/>
        <v>0.40353386198407798</v>
      </c>
    </row>
    <row r="44" spans="1:11" s="1" customFormat="1">
      <c r="A44" s="17" t="s">
        <v>52</v>
      </c>
      <c r="B44" s="18">
        <f>0/1000</f>
        <v>0</v>
      </c>
      <c r="C44" s="18">
        <v>0</v>
      </c>
      <c r="D44" s="13">
        <v>0</v>
      </c>
      <c r="E44" s="18">
        <v>0</v>
      </c>
      <c r="F44" s="18">
        <v>0</v>
      </c>
      <c r="G44" s="22"/>
      <c r="H44" s="14">
        <v>0</v>
      </c>
      <c r="I44" s="22">
        <f t="shared" si="3"/>
        <v>0</v>
      </c>
      <c r="J44" s="22">
        <v>0</v>
      </c>
    </row>
    <row r="45" spans="1:11" s="1" customFormat="1">
      <c r="A45" s="17" t="s">
        <v>53</v>
      </c>
      <c r="B45" s="18">
        <f>70892540.06/1000</f>
        <v>70892.540059999999</v>
      </c>
      <c r="C45" s="18">
        <f>70892540.06/1000</f>
        <v>70892.540059999999</v>
      </c>
      <c r="D45" s="13">
        <f t="shared" si="0"/>
        <v>100</v>
      </c>
      <c r="E45" s="18">
        <f>42217362.33/1000</f>
        <v>42217.362330000004</v>
      </c>
      <c r="F45" s="18">
        <f>26760781.9/1000</f>
        <v>26760.781900000002</v>
      </c>
      <c r="G45" s="22"/>
      <c r="H45" s="14">
        <v>0</v>
      </c>
      <c r="I45" s="22">
        <f t="shared" si="3"/>
        <v>44131.758159999998</v>
      </c>
      <c r="J45" s="22">
        <f t="shared" si="4"/>
        <v>1.6491206544304999</v>
      </c>
    </row>
    <row r="46" spans="1:11" s="1" customFormat="1" ht="37.5">
      <c r="A46" s="17" t="s">
        <v>54</v>
      </c>
      <c r="B46" s="18">
        <f>28325603/1000</f>
        <v>28325.602999999999</v>
      </c>
      <c r="C46" s="18">
        <f>28325603/1000</f>
        <v>28325.602999999999</v>
      </c>
      <c r="D46" s="13">
        <f t="shared" si="0"/>
        <v>100</v>
      </c>
      <c r="E46" s="18">
        <f>26041871/1000</f>
        <v>26041.870999999999</v>
      </c>
      <c r="F46" s="18">
        <f>26041871/1000</f>
        <v>26041.870999999999</v>
      </c>
      <c r="G46" s="13">
        <f t="shared" ref="G46:G47" si="15">F46/E46*100</f>
        <v>100</v>
      </c>
      <c r="H46" s="14">
        <f t="shared" si="2"/>
        <v>100</v>
      </c>
      <c r="I46" s="22">
        <f t="shared" si="3"/>
        <v>2283.732</v>
      </c>
      <c r="J46" s="22">
        <f t="shared" si="4"/>
        <v>8.7694620712927995E-2</v>
      </c>
    </row>
    <row r="47" spans="1:11" s="1" customFormat="1">
      <c r="A47" s="17" t="s">
        <v>55</v>
      </c>
      <c r="B47" s="18">
        <f>839608382.07/1000</f>
        <v>839608.38207000005</v>
      </c>
      <c r="C47" s="18">
        <f>711168049.33/1000</f>
        <v>711168.04932999995</v>
      </c>
      <c r="D47" s="13">
        <f t="shared" si="0"/>
        <v>84.702352253399496</v>
      </c>
      <c r="E47" s="18">
        <f>307764523.99/1000</f>
        <v>307764.52399000002</v>
      </c>
      <c r="F47" s="18">
        <f>297485410.87/1000</f>
        <v>297485.41087000002</v>
      </c>
      <c r="G47" s="13">
        <f t="shared" si="15"/>
        <v>96.660072126982996</v>
      </c>
      <c r="H47" s="14">
        <f t="shared" si="2"/>
        <v>96.660072126982996</v>
      </c>
      <c r="I47" s="22">
        <f t="shared" si="3"/>
        <v>413682.63845999999</v>
      </c>
      <c r="J47" s="22">
        <f t="shared" si="4"/>
        <v>1.3905980708438099</v>
      </c>
    </row>
    <row r="48" spans="1:11" s="1" customFormat="1">
      <c r="A48" s="17" t="s">
        <v>56</v>
      </c>
      <c r="B48" s="18">
        <f>0/1000</f>
        <v>0</v>
      </c>
      <c r="C48" s="18">
        <f>0/1000</f>
        <v>0</v>
      </c>
      <c r="D48" s="13">
        <v>0</v>
      </c>
      <c r="E48" s="18">
        <v>0</v>
      </c>
      <c r="F48" s="18">
        <v>0</v>
      </c>
      <c r="G48" s="22"/>
      <c r="H48" s="14">
        <v>0</v>
      </c>
      <c r="I48" s="22">
        <f t="shared" si="3"/>
        <v>0</v>
      </c>
      <c r="J48" s="22">
        <v>0</v>
      </c>
    </row>
    <row r="49" spans="1:10" s="1" customFormat="1">
      <c r="A49" s="17" t="s">
        <v>57</v>
      </c>
      <c r="B49" s="18">
        <f>35690091/1000</f>
        <v>35690.091</v>
      </c>
      <c r="C49" s="18">
        <f>35690091/1000</f>
        <v>35690.091</v>
      </c>
      <c r="D49" s="13">
        <f t="shared" si="0"/>
        <v>100</v>
      </c>
      <c r="E49" s="18">
        <f>23645600/1000</f>
        <v>23645.599999999999</v>
      </c>
      <c r="F49" s="18">
        <f>23645540/1000</f>
        <v>23645.54</v>
      </c>
      <c r="G49" s="13">
        <f t="shared" ref="G49" si="16">F49/E49*100</f>
        <v>99.999746253002698</v>
      </c>
      <c r="H49" s="14">
        <f t="shared" si="2"/>
        <v>99.999746253002698</v>
      </c>
      <c r="I49" s="22">
        <f t="shared" si="3"/>
        <v>12044.550999999999</v>
      </c>
      <c r="J49" s="22">
        <f t="shared" si="4"/>
        <v>0.50937940093565204</v>
      </c>
    </row>
    <row r="50" spans="1:10" s="1" customFormat="1">
      <c r="A50" s="17" t="s">
        <v>58</v>
      </c>
      <c r="B50" s="18">
        <f>325603456.01/1000</f>
        <v>325603.45601000002</v>
      </c>
      <c r="C50" s="18">
        <f>232219626.43/1000</f>
        <v>232219.62643</v>
      </c>
      <c r="D50" s="13">
        <f t="shared" si="0"/>
        <v>71.319767079765896</v>
      </c>
      <c r="E50" s="18">
        <f>6739155.36/1000</f>
        <v>6739.1553599999997</v>
      </c>
      <c r="F50" s="18">
        <f>4382458.3/1000</f>
        <v>4382.4583000000002</v>
      </c>
      <c r="G50" s="22"/>
      <c r="H50" s="14">
        <f t="shared" si="2"/>
        <v>65.029785869189396</v>
      </c>
      <c r="I50" s="22">
        <f t="shared" si="3"/>
        <v>227837.16813000001</v>
      </c>
      <c r="J50" s="22">
        <f t="shared" si="4"/>
        <v>51.988439486121301</v>
      </c>
    </row>
    <row r="51" spans="1:10" s="1" customFormat="1">
      <c r="A51" s="17" t="s">
        <v>59</v>
      </c>
      <c r="B51" s="18">
        <f>54849530.17/1000</f>
        <v>54849.530169999998</v>
      </c>
      <c r="C51" s="18">
        <f>51293724.79/1000</f>
        <v>51293.72479</v>
      </c>
      <c r="D51" s="13">
        <f t="shared" si="0"/>
        <v>93.517163467072194</v>
      </c>
      <c r="E51" s="18">
        <f>54262392.13/1000</f>
        <v>54262.39213</v>
      </c>
      <c r="F51" s="18">
        <f>54031415.67/1000</f>
        <v>54031.415670000002</v>
      </c>
      <c r="G51" s="13">
        <f t="shared" ref="G51:G69" si="17">F51/E51*100</f>
        <v>99.5743341733873</v>
      </c>
      <c r="H51" s="14">
        <f t="shared" si="2"/>
        <v>99.5743341733873</v>
      </c>
      <c r="I51" s="22">
        <f t="shared" si="3"/>
        <v>-2737.6908800000001</v>
      </c>
      <c r="J51" s="22">
        <f t="shared" si="4"/>
        <v>-5.0668501760542599E-2</v>
      </c>
    </row>
    <row r="52" spans="1:10" s="1" customFormat="1">
      <c r="A52" s="17" t="s">
        <v>60</v>
      </c>
      <c r="B52" s="18">
        <f>5900000/1000</f>
        <v>5900</v>
      </c>
      <c r="C52" s="18">
        <f>5900000/1000</f>
        <v>5900</v>
      </c>
      <c r="D52" s="13">
        <f t="shared" si="0"/>
        <v>100</v>
      </c>
      <c r="E52" s="18">
        <f>5700000/1000</f>
        <v>5700</v>
      </c>
      <c r="F52" s="18">
        <f>5700000/1000</f>
        <v>5700</v>
      </c>
      <c r="G52" s="13">
        <f t="shared" si="17"/>
        <v>100</v>
      </c>
      <c r="H52" s="14">
        <f t="shared" si="2"/>
        <v>100</v>
      </c>
      <c r="I52" s="22">
        <f t="shared" si="3"/>
        <v>200</v>
      </c>
      <c r="J52" s="22">
        <f t="shared" si="4"/>
        <v>3.5087719298245598E-2</v>
      </c>
    </row>
    <row r="53" spans="1:10" s="1" customFormat="1">
      <c r="A53" s="17" t="s">
        <v>61</v>
      </c>
      <c r="B53" s="18">
        <f>417565304.89/1000</f>
        <v>417565.30489000003</v>
      </c>
      <c r="C53" s="18">
        <f>386064607.11/1000</f>
        <v>386064.60710999998</v>
      </c>
      <c r="D53" s="13">
        <f t="shared" si="0"/>
        <v>92.456102695529694</v>
      </c>
      <c r="E53" s="18">
        <f>217417376.5/1000</f>
        <v>217417.37650000001</v>
      </c>
      <c r="F53" s="18">
        <f>209725996.9/1000</f>
        <v>209725.9969</v>
      </c>
      <c r="G53" s="13">
        <f t="shared" si="17"/>
        <v>96.462389656330004</v>
      </c>
      <c r="H53" s="14">
        <f t="shared" si="2"/>
        <v>96.462389656330004</v>
      </c>
      <c r="I53" s="22">
        <f t="shared" si="3"/>
        <v>176338.61021000001</v>
      </c>
      <c r="J53" s="22">
        <f t="shared" si="4"/>
        <v>0.84080473005967205</v>
      </c>
    </row>
    <row r="54" spans="1:10" s="1" customFormat="1">
      <c r="A54" s="17" t="s">
        <v>62</v>
      </c>
      <c r="B54" s="18">
        <f>31829237.86/1000</f>
        <v>31829.237860000001</v>
      </c>
      <c r="C54" s="18">
        <f>27927139.08/1000</f>
        <v>27927.139080000001</v>
      </c>
      <c r="D54" s="13">
        <f t="shared" si="0"/>
        <v>87.740520847017194</v>
      </c>
      <c r="E54" s="18">
        <f>29909506/1000</f>
        <v>29909.506000000001</v>
      </c>
      <c r="F54" s="18">
        <f>29614037.16/1000</f>
        <v>29614.03716</v>
      </c>
      <c r="G54" s="13">
        <f t="shared" si="17"/>
        <v>99.012123971556093</v>
      </c>
      <c r="H54" s="14">
        <f t="shared" si="2"/>
        <v>99.012123971556093</v>
      </c>
      <c r="I54" s="22">
        <f t="shared" si="3"/>
        <v>-1686.8980799999999</v>
      </c>
      <c r="J54" s="22">
        <f t="shared" si="4"/>
        <v>-5.6962786630068603E-2</v>
      </c>
    </row>
    <row r="55" spans="1:10" s="1" customFormat="1">
      <c r="A55" s="17" t="s">
        <v>63</v>
      </c>
      <c r="B55" s="18">
        <f>2408620/1000</f>
        <v>2408.62</v>
      </c>
      <c r="C55" s="18">
        <f>742021/1000</f>
        <v>742.02099999999996</v>
      </c>
      <c r="D55" s="13">
        <f t="shared" si="0"/>
        <v>30.806893573913701</v>
      </c>
      <c r="E55" s="18">
        <f>1025000/1000</f>
        <v>1025</v>
      </c>
      <c r="F55" s="18">
        <f>729531.16/1000</f>
        <v>729.53116</v>
      </c>
      <c r="G55" s="13">
        <f t="shared" si="17"/>
        <v>71.173771707317101</v>
      </c>
      <c r="H55" s="14">
        <f t="shared" si="2"/>
        <v>71.173771707317101</v>
      </c>
      <c r="I55" s="22">
        <f t="shared" si="3"/>
        <v>12.489839999999999</v>
      </c>
      <c r="J55" s="22">
        <f t="shared" si="4"/>
        <v>1.71203653590341E-2</v>
      </c>
    </row>
    <row r="56" spans="1:10" s="1" customFormat="1">
      <c r="A56" s="17" t="s">
        <v>64</v>
      </c>
      <c r="B56" s="18">
        <f>2235499.78/1000</f>
        <v>2235.4997800000001</v>
      </c>
      <c r="C56" s="18">
        <f>0/1000</f>
        <v>0</v>
      </c>
      <c r="D56" s="13">
        <f t="shared" si="0"/>
        <v>0</v>
      </c>
      <c r="E56" s="18">
        <f>1028521.4/1000</f>
        <v>1028.5214000000001</v>
      </c>
      <c r="F56" s="18">
        <f>1028521.4/1000</f>
        <v>1028.5214000000001</v>
      </c>
      <c r="G56" s="13">
        <f t="shared" si="17"/>
        <v>100</v>
      </c>
      <c r="H56" s="14">
        <f t="shared" si="2"/>
        <v>100</v>
      </c>
      <c r="I56" s="22">
        <f t="shared" si="3"/>
        <v>-1028.5214000000001</v>
      </c>
      <c r="J56" s="22">
        <f t="shared" si="4"/>
        <v>-1</v>
      </c>
    </row>
    <row r="57" spans="1:10" s="1" customFormat="1">
      <c r="A57" s="17" t="s">
        <v>65</v>
      </c>
      <c r="B57" s="18">
        <v>0</v>
      </c>
      <c r="C57" s="18">
        <v>0</v>
      </c>
      <c r="D57" s="13">
        <v>0</v>
      </c>
      <c r="E57" s="18">
        <v>0</v>
      </c>
      <c r="F57" s="18">
        <v>0</v>
      </c>
      <c r="G57" s="13" t="e">
        <f t="shared" si="17"/>
        <v>#DIV/0!</v>
      </c>
      <c r="H57" s="14">
        <v>0</v>
      </c>
      <c r="I57" s="22">
        <f t="shared" si="3"/>
        <v>0</v>
      </c>
      <c r="J57" s="22">
        <v>0</v>
      </c>
    </row>
    <row r="58" spans="1:10" s="1" customFormat="1" ht="37.5">
      <c r="A58" s="17" t="s">
        <v>66</v>
      </c>
      <c r="B58" s="18">
        <f>27185118.08/1000</f>
        <v>27185.11808</v>
      </c>
      <c r="C58" s="18">
        <f>27185118.08/1000</f>
        <v>27185.11808</v>
      </c>
      <c r="D58" s="13">
        <f t="shared" si="0"/>
        <v>100</v>
      </c>
      <c r="E58" s="18">
        <f>27855984.6/1000</f>
        <v>27855.9846</v>
      </c>
      <c r="F58" s="18">
        <f>27855984.6/1000</f>
        <v>27855.9846</v>
      </c>
      <c r="G58" s="13">
        <f t="shared" si="17"/>
        <v>100</v>
      </c>
      <c r="H58" s="14">
        <f t="shared" si="2"/>
        <v>100</v>
      </c>
      <c r="I58" s="22">
        <f t="shared" si="3"/>
        <v>-670.86652000000299</v>
      </c>
      <c r="J58" s="22">
        <f t="shared" si="4"/>
        <v>-2.40833892477096E-2</v>
      </c>
    </row>
    <row r="59" spans="1:10" s="1" customFormat="1">
      <c r="A59" s="17" t="s">
        <v>67</v>
      </c>
      <c r="B59" s="18">
        <f>22779001/1000</f>
        <v>22779.001</v>
      </c>
      <c r="C59" s="18">
        <f>22779001/1000</f>
        <v>22779.001</v>
      </c>
      <c r="D59" s="13">
        <f t="shared" si="0"/>
        <v>100</v>
      </c>
      <c r="E59" s="18">
        <f>31953829.35/1000</f>
        <v>31953.82935</v>
      </c>
      <c r="F59" s="18">
        <f>27502382.41/1000</f>
        <v>27502.382409999998</v>
      </c>
      <c r="G59" s="13">
        <f t="shared" si="17"/>
        <v>86.069128393839904</v>
      </c>
      <c r="H59" s="14">
        <f t="shared" si="2"/>
        <v>86.069128393839904</v>
      </c>
      <c r="I59" s="22">
        <f t="shared" si="3"/>
        <v>-4723.38141</v>
      </c>
      <c r="J59" s="22">
        <f t="shared" si="4"/>
        <v>-0.171744445247862</v>
      </c>
    </row>
    <row r="60" spans="1:10" s="1" customFormat="1">
      <c r="A60" s="17" t="s">
        <v>68</v>
      </c>
      <c r="B60" s="18">
        <f>22779001/1000</f>
        <v>22779.001</v>
      </c>
      <c r="C60" s="18">
        <f>22779001/1000</f>
        <v>22779.001</v>
      </c>
      <c r="D60" s="13">
        <f t="shared" si="0"/>
        <v>100</v>
      </c>
      <c r="E60" s="18">
        <f>31953829.35/1000</f>
        <v>31953.82935</v>
      </c>
      <c r="F60" s="18">
        <f>27502382.41/1000</f>
        <v>27502.382409999998</v>
      </c>
      <c r="G60" s="13">
        <f t="shared" si="17"/>
        <v>86.069128393839904</v>
      </c>
      <c r="H60" s="14">
        <f t="shared" ref="H60" si="18">F60/E60*100</f>
        <v>86.069128393839904</v>
      </c>
      <c r="I60" s="22">
        <f t="shared" si="3"/>
        <v>-4723.38141</v>
      </c>
      <c r="J60" s="22">
        <f t="shared" si="4"/>
        <v>-0.171744445247862</v>
      </c>
    </row>
    <row r="61" spans="1:10" s="1" customFormat="1">
      <c r="A61" s="17" t="s">
        <v>69</v>
      </c>
      <c r="B61" s="18">
        <f>29056476572.97/1000</f>
        <v>29056476.572969999</v>
      </c>
      <c r="C61" s="18">
        <f>27961392153.59/1000</f>
        <v>27961392.153590001</v>
      </c>
      <c r="D61" s="13">
        <f t="shared" si="0"/>
        <v>96.231186473590896</v>
      </c>
      <c r="E61" s="18">
        <f>25351388464.37/1000</f>
        <v>25351388.464370001</v>
      </c>
      <c r="F61" s="18">
        <f>25031493773.52/1000</f>
        <v>25031493.77352</v>
      </c>
      <c r="G61" s="13">
        <f t="shared" si="17"/>
        <v>98.738157117904606</v>
      </c>
      <c r="H61" s="14">
        <f t="shared" si="2"/>
        <v>98.738157117904606</v>
      </c>
      <c r="I61" s="22">
        <f t="shared" si="3"/>
        <v>2929898.38007</v>
      </c>
      <c r="J61" s="22">
        <f t="shared" si="4"/>
        <v>0.117048483265887</v>
      </c>
    </row>
    <row r="62" spans="1:10" s="1" customFormat="1">
      <c r="A62" s="17" t="s">
        <v>70</v>
      </c>
      <c r="B62" s="18">
        <f>13086168461.5/1000</f>
        <v>13086168.4615</v>
      </c>
      <c r="C62" s="18">
        <f>12495633598.71/1000</f>
        <v>12495633.598710001</v>
      </c>
      <c r="D62" s="13">
        <f t="shared" si="0"/>
        <v>95.487335620602906</v>
      </c>
      <c r="E62" s="18">
        <f>10971516444.43/1000</f>
        <v>10971516.444429999</v>
      </c>
      <c r="F62" s="18">
        <f>10911937004.33/1000</f>
        <v>10911937.00433</v>
      </c>
      <c r="G62" s="13">
        <f t="shared" si="17"/>
        <v>99.456962577582004</v>
      </c>
      <c r="H62" s="14">
        <f t="shared" si="2"/>
        <v>99.456962577582004</v>
      </c>
      <c r="I62" s="22">
        <f t="shared" si="3"/>
        <v>1583696.5943799999</v>
      </c>
      <c r="J62" s="22">
        <f t="shared" si="4"/>
        <v>0.14513432342503099</v>
      </c>
    </row>
    <row r="63" spans="1:10" s="1" customFormat="1">
      <c r="A63" s="17" t="s">
        <v>71</v>
      </c>
      <c r="B63" s="18">
        <f>13809284850.69/1000</f>
        <v>13809284.85069</v>
      </c>
      <c r="C63" s="18">
        <f>13390519206.43/1000</f>
        <v>13390519.206429999</v>
      </c>
      <c r="D63" s="13">
        <f t="shared" si="0"/>
        <v>96.967506653763607</v>
      </c>
      <c r="E63" s="18">
        <f>12648850341.16/1000</f>
        <v>12648850.341159999</v>
      </c>
      <c r="F63" s="18">
        <f>12431417267.61/1000</f>
        <v>12431417.26761</v>
      </c>
      <c r="G63" s="13">
        <f t="shared" si="17"/>
        <v>98.281005248022694</v>
      </c>
      <c r="H63" s="14">
        <f t="shared" si="2"/>
        <v>98.281005248022694</v>
      </c>
      <c r="I63" s="22">
        <f t="shared" si="3"/>
        <v>959101.93882000097</v>
      </c>
      <c r="J63" s="22">
        <f t="shared" si="4"/>
        <v>7.7151455716874401E-2</v>
      </c>
    </row>
    <row r="64" spans="1:10" s="1" customFormat="1">
      <c r="A64" s="17" t="s">
        <v>72</v>
      </c>
      <c r="B64" s="18">
        <f>1448796680.81/1000</f>
        <v>1448796.68081</v>
      </c>
      <c r="C64" s="18">
        <f>1372918631.63/1000</f>
        <v>1372918.63163</v>
      </c>
      <c r="D64" s="13">
        <f t="shared" si="0"/>
        <v>94.762684772470806</v>
      </c>
      <c r="E64" s="18">
        <f>1177668837.05/1000</f>
        <v>1177668.83705</v>
      </c>
      <c r="F64" s="18">
        <f>1139634714.48/1000</f>
        <v>1139634.7144800001</v>
      </c>
      <c r="G64" s="13">
        <f t="shared" si="17"/>
        <v>96.770388977492701</v>
      </c>
      <c r="H64" s="14">
        <f t="shared" si="2"/>
        <v>96.770388977492701</v>
      </c>
      <c r="I64" s="22">
        <f t="shared" si="3"/>
        <v>233283.91714999999</v>
      </c>
      <c r="J64" s="22">
        <f t="shared" si="4"/>
        <v>0.20470060641882501</v>
      </c>
    </row>
    <row r="65" spans="1:11" s="1" customFormat="1" ht="37.5">
      <c r="A65" s="17" t="s">
        <v>73</v>
      </c>
      <c r="B65" s="18">
        <f>0/1000</f>
        <v>0</v>
      </c>
      <c r="C65" s="18">
        <f>0/1000</f>
        <v>0</v>
      </c>
      <c r="D65" s="13">
        <v>0</v>
      </c>
      <c r="E65" s="18">
        <f>0/1000</f>
        <v>0</v>
      </c>
      <c r="F65" s="18">
        <f>0/1000</f>
        <v>0</v>
      </c>
      <c r="G65" s="13" t="e">
        <f t="shared" si="17"/>
        <v>#DIV/0!</v>
      </c>
      <c r="H65" s="14">
        <v>0</v>
      </c>
      <c r="I65" s="22">
        <f t="shared" si="3"/>
        <v>0</v>
      </c>
      <c r="J65" s="22">
        <v>0</v>
      </c>
    </row>
    <row r="66" spans="1:11" s="1" customFormat="1">
      <c r="A66" s="17" t="s">
        <v>74</v>
      </c>
      <c r="B66" s="18">
        <f>289839804.48/1000</f>
        <v>289839.80447999999</v>
      </c>
      <c r="C66" s="18">
        <f>287122179.57/1000</f>
        <v>287122.17956999998</v>
      </c>
      <c r="D66" s="13">
        <f t="shared" si="0"/>
        <v>99.062370016818207</v>
      </c>
      <c r="E66" s="18">
        <f>290767631.81/1000</f>
        <v>290767.63180999999</v>
      </c>
      <c r="F66" s="18">
        <f>290207344.38/1000</f>
        <v>290207.34438000002</v>
      </c>
      <c r="G66" s="13">
        <f t="shared" si="17"/>
        <v>99.807307496191299</v>
      </c>
      <c r="H66" s="14">
        <f t="shared" si="2"/>
        <v>99.807307496191299</v>
      </c>
      <c r="I66" s="22">
        <f t="shared" si="3"/>
        <v>-3085.1648100000498</v>
      </c>
      <c r="J66" s="22">
        <f t="shared" si="4"/>
        <v>-1.06308984584494E-2</v>
      </c>
    </row>
    <row r="67" spans="1:11" s="1" customFormat="1">
      <c r="A67" s="17" t="s">
        <v>75</v>
      </c>
      <c r="B67" s="18">
        <f>422386775.49/1000</f>
        <v>422386.77549000003</v>
      </c>
      <c r="C67" s="18">
        <f>415198537.25/1000</f>
        <v>415198.53724999999</v>
      </c>
      <c r="D67" s="13">
        <f t="shared" si="0"/>
        <v>98.298185772586905</v>
      </c>
      <c r="E67" s="18">
        <f>262585209.92/1000</f>
        <v>262585.20991999999</v>
      </c>
      <c r="F67" s="18">
        <f>258297442.72/1000</f>
        <v>258297.44271999999</v>
      </c>
      <c r="G67" s="13">
        <f t="shared" si="17"/>
        <v>98.367094932229307</v>
      </c>
      <c r="H67" s="14">
        <f t="shared" si="2"/>
        <v>98.367094932229307</v>
      </c>
      <c r="I67" s="22">
        <f t="shared" si="3"/>
        <v>156901.09453</v>
      </c>
      <c r="J67" s="22">
        <f t="shared" si="4"/>
        <v>0.60744346857542897</v>
      </c>
    </row>
    <row r="68" spans="1:11" s="1" customFormat="1">
      <c r="A68" s="17" t="s">
        <v>76</v>
      </c>
      <c r="B68" s="18">
        <f>259111212.45/1000</f>
        <v>259111.21244999999</v>
      </c>
      <c r="C68" s="18">
        <f>257228911.37/1000</f>
        <v>257228.91136999999</v>
      </c>
      <c r="D68" s="13">
        <f t="shared" si="0"/>
        <v>99.273554755812398</v>
      </c>
      <c r="E68" s="18">
        <f>243297075.46/1000</f>
        <v>243297.07545999999</v>
      </c>
      <c r="F68" s="18">
        <f>243296897.01/1000</f>
        <v>243296.89700999999</v>
      </c>
      <c r="G68" s="13">
        <f t="shared" si="17"/>
        <v>99.999926653454594</v>
      </c>
      <c r="H68" s="14">
        <f t="shared" si="2"/>
        <v>99.999926653454594</v>
      </c>
      <c r="I68" s="22">
        <f t="shared" si="3"/>
        <v>13932.014359999999</v>
      </c>
      <c r="J68" s="22">
        <f t="shared" si="4"/>
        <v>5.7263428063479997E-2</v>
      </c>
    </row>
    <row r="69" spans="1:11" s="1" customFormat="1">
      <c r="A69" s="17" t="s">
        <v>77</v>
      </c>
      <c r="B69" s="18">
        <f>259111212.45/1000</f>
        <v>259111.21244999999</v>
      </c>
      <c r="C69" s="18">
        <f>257228911.37/1000</f>
        <v>257228.91136999999</v>
      </c>
      <c r="D69" s="13">
        <f t="shared" ref="D69" si="19">C69/B69*100</f>
        <v>99.273554755812398</v>
      </c>
      <c r="E69" s="18">
        <f>243297075.46/1000</f>
        <v>243297.07545999999</v>
      </c>
      <c r="F69" s="18">
        <f>243296897.01/1000</f>
        <v>243296.89700999999</v>
      </c>
      <c r="G69" s="13">
        <f t="shared" si="17"/>
        <v>99.999926653454594</v>
      </c>
      <c r="H69" s="14">
        <f t="shared" si="2"/>
        <v>99.999926653454594</v>
      </c>
      <c r="I69" s="22">
        <f t="shared" si="3"/>
        <v>13932.014359999999</v>
      </c>
      <c r="J69" s="22">
        <f t="shared" si="4"/>
        <v>5.7263428063479997E-2</v>
      </c>
    </row>
    <row r="70" spans="1:11" s="1" customFormat="1">
      <c r="A70" s="17" t="s">
        <v>78</v>
      </c>
      <c r="B70" s="18">
        <f>0/1000</f>
        <v>0</v>
      </c>
      <c r="C70" s="18">
        <f>0/1000</f>
        <v>0</v>
      </c>
      <c r="D70" s="13">
        <v>0</v>
      </c>
      <c r="E70" s="18">
        <v>0</v>
      </c>
      <c r="F70" s="18">
        <v>0</v>
      </c>
      <c r="G70" s="13">
        <v>0</v>
      </c>
      <c r="H70" s="14">
        <v>0</v>
      </c>
      <c r="I70" s="22">
        <f t="shared" si="3"/>
        <v>0</v>
      </c>
      <c r="J70" s="22">
        <v>0</v>
      </c>
    </row>
    <row r="71" spans="1:11" s="1" customFormat="1">
      <c r="A71" s="17" t="s">
        <v>79</v>
      </c>
      <c r="B71" s="18">
        <f>1530001665.28/1000</f>
        <v>1530001.6652800001</v>
      </c>
      <c r="C71" s="18">
        <f>1459366970.84/1000</f>
        <v>1459366.9708400001</v>
      </c>
      <c r="D71" s="13">
        <f t="shared" si="0"/>
        <v>95.383358329412403</v>
      </c>
      <c r="E71" s="18">
        <f>1602491022.19/1000</f>
        <v>1602491.0221899999</v>
      </c>
      <c r="F71" s="18">
        <f>1511669491.56/1000</f>
        <v>1511669.49156</v>
      </c>
      <c r="G71" s="13">
        <f t="shared" ref="G71:G79" si="20">F71/E71*100</f>
        <v>94.332478037481806</v>
      </c>
      <c r="H71" s="14">
        <f t="shared" si="2"/>
        <v>94.332478037481806</v>
      </c>
      <c r="I71" s="22">
        <f t="shared" si="3"/>
        <v>-52302.520720000102</v>
      </c>
      <c r="J71" s="22">
        <f t="shared" si="4"/>
        <v>-3.45991772752028E-2</v>
      </c>
    </row>
    <row r="72" spans="1:11" s="1" customFormat="1">
      <c r="A72" s="17" t="s">
        <v>80</v>
      </c>
      <c r="B72" s="18">
        <f>65096836/1000</f>
        <v>65096.836000000003</v>
      </c>
      <c r="C72" s="18">
        <f>65096836/1000</f>
        <v>65096.836000000003</v>
      </c>
      <c r="D72" s="13">
        <f t="shared" si="0"/>
        <v>100</v>
      </c>
      <c r="E72" s="18">
        <f>57621601/1000</f>
        <v>57621.601000000002</v>
      </c>
      <c r="F72" s="18">
        <f>57585431/1000</f>
        <v>57585.430999999997</v>
      </c>
      <c r="G72" s="13">
        <f t="shared" si="20"/>
        <v>99.9372284015503</v>
      </c>
      <c r="H72" s="14">
        <f t="shared" si="2"/>
        <v>99.9372284015503</v>
      </c>
      <c r="I72" s="22">
        <f t="shared" si="3"/>
        <v>7511.4050000000097</v>
      </c>
      <c r="J72" s="22">
        <f t="shared" si="4"/>
        <v>0.130439329350509</v>
      </c>
    </row>
    <row r="73" spans="1:11" s="1" customFormat="1">
      <c r="A73" s="17" t="s">
        <v>81</v>
      </c>
      <c r="B73" s="18">
        <f>842463962.6/1000</f>
        <v>842463.96259999997</v>
      </c>
      <c r="C73" s="18">
        <f>806325461.49/1000</f>
        <v>806325.46149000002</v>
      </c>
      <c r="D73" s="13">
        <f t="shared" si="0"/>
        <v>95.710380180717806</v>
      </c>
      <c r="E73" s="18">
        <f>745219723.34/1000</f>
        <v>745219.72334000003</v>
      </c>
      <c r="F73" s="18">
        <f>677106071.64/1000</f>
        <v>677106.07163999998</v>
      </c>
      <c r="G73" s="13">
        <f t="shared" si="20"/>
        <v>90.859923648461503</v>
      </c>
      <c r="H73" s="14">
        <f t="shared" si="2"/>
        <v>90.859923648461503</v>
      </c>
      <c r="I73" s="22">
        <f t="shared" si="3"/>
        <v>129219.38985000001</v>
      </c>
      <c r="J73" s="22">
        <f t="shared" si="4"/>
        <v>0.19084068990405201</v>
      </c>
      <c r="K73" s="42"/>
    </row>
    <row r="74" spans="1:11" s="1" customFormat="1">
      <c r="A74" s="17" t="s">
        <v>82</v>
      </c>
      <c r="B74" s="18">
        <f>451755231.12/1000</f>
        <v>451755.23112000001</v>
      </c>
      <c r="C74" s="18">
        <f>427351840.1/1000</f>
        <v>427351.84009999997</v>
      </c>
      <c r="D74" s="13">
        <f t="shared" ref="D74:D92" si="21">C74/B74*100</f>
        <v>94.598094423943095</v>
      </c>
      <c r="E74" s="18">
        <f>673126179.74/1000</f>
        <v>673126.17974000005</v>
      </c>
      <c r="F74" s="18">
        <f>651994824.58/1000</f>
        <v>651994.82458000001</v>
      </c>
      <c r="G74" s="13">
        <f t="shared" si="20"/>
        <v>96.860714113338702</v>
      </c>
      <c r="H74" s="14">
        <f t="shared" si="2"/>
        <v>96.860714113338702</v>
      </c>
      <c r="I74" s="22">
        <f t="shared" si="3"/>
        <v>-224642.98448000001</v>
      </c>
      <c r="J74" s="22">
        <f t="shared" si="4"/>
        <v>-0.34454718965707998</v>
      </c>
    </row>
    <row r="75" spans="1:11" s="1" customFormat="1">
      <c r="A75" s="17" t="s">
        <v>83</v>
      </c>
      <c r="B75" s="18">
        <f>170685635.56/1000</f>
        <v>170685.63556</v>
      </c>
      <c r="C75" s="18">
        <f>160592833.25/1000</f>
        <v>160592.83325</v>
      </c>
      <c r="D75" s="13">
        <f t="shared" si="21"/>
        <v>94.0869058624139</v>
      </c>
      <c r="E75" s="18">
        <f>126523518.11/1000</f>
        <v>126523.51811</v>
      </c>
      <c r="F75" s="18">
        <f>124983164.34/1000</f>
        <v>124983.16434</v>
      </c>
      <c r="G75" s="13">
        <f t="shared" si="20"/>
        <v>98.782555375467197</v>
      </c>
      <c r="H75" s="14">
        <f t="shared" ref="H75:H90" si="22">F75/E75*100</f>
        <v>98.782555375467197</v>
      </c>
      <c r="I75" s="22">
        <f t="shared" ref="I75:I92" si="23">C75-F75</f>
        <v>35609.66891</v>
      </c>
      <c r="J75" s="22">
        <f t="shared" ref="J75:J92" si="24">I75/F75</f>
        <v>0.28491572523422998</v>
      </c>
    </row>
    <row r="76" spans="1:11" s="1" customFormat="1">
      <c r="A76" s="17" t="s">
        <v>84</v>
      </c>
      <c r="B76" s="18">
        <f>1116508348.93/1000</f>
        <v>1116508.3489300001</v>
      </c>
      <c r="C76" s="18">
        <f>1076357563.43/1000</f>
        <v>1076357.5634300001</v>
      </c>
      <c r="D76" s="13">
        <f t="shared" si="21"/>
        <v>96.403897423742706</v>
      </c>
      <c r="E76" s="18">
        <f>1208998072.46/1000</f>
        <v>1208998.0724599999</v>
      </c>
      <c r="F76" s="18">
        <f>801208788.19/1000</f>
        <v>801208.78818999999</v>
      </c>
      <c r="G76" s="13">
        <f t="shared" si="20"/>
        <v>66.270476888333405</v>
      </c>
      <c r="H76" s="14">
        <f t="shared" si="22"/>
        <v>66.270476888333405</v>
      </c>
      <c r="I76" s="22">
        <f t="shared" si="23"/>
        <v>275148.77523999999</v>
      </c>
      <c r="J76" s="22">
        <f t="shared" si="24"/>
        <v>0.34341707092552598</v>
      </c>
    </row>
    <row r="77" spans="1:11" s="1" customFormat="1">
      <c r="A77" s="17" t="s">
        <v>85</v>
      </c>
      <c r="B77" s="18">
        <f>857526648.41/1000</f>
        <v>857526.64841000002</v>
      </c>
      <c r="C77" s="18">
        <f>817375863.01/1000</f>
        <v>817375.86300999997</v>
      </c>
      <c r="D77" s="13">
        <f t="shared" si="21"/>
        <v>95.317838171624601</v>
      </c>
      <c r="E77" s="18">
        <f>673329607.77/1000</f>
        <v>673329.60777</v>
      </c>
      <c r="F77" s="18">
        <f>501986908.2/1000</f>
        <v>501986.90820000001</v>
      </c>
      <c r="G77" s="13">
        <f t="shared" si="20"/>
        <v>74.552923621245498</v>
      </c>
      <c r="H77" s="14">
        <f t="shared" si="22"/>
        <v>74.552923621245498</v>
      </c>
      <c r="I77" s="22">
        <f t="shared" si="23"/>
        <v>315388.95481000002</v>
      </c>
      <c r="J77" s="22">
        <f t="shared" si="24"/>
        <v>0.62828123534318103</v>
      </c>
    </row>
    <row r="78" spans="1:11" s="1" customFormat="1">
      <c r="A78" s="17" t="s">
        <v>86</v>
      </c>
      <c r="B78" s="18">
        <f>256572780.2/1000</f>
        <v>256572.78020000001</v>
      </c>
      <c r="C78" s="18">
        <f>256572780.2/1000</f>
        <v>256572.78020000001</v>
      </c>
      <c r="D78" s="13">
        <f t="shared" si="21"/>
        <v>100</v>
      </c>
      <c r="E78" s="18">
        <f>533328552.37/1000</f>
        <v>533328.55237000005</v>
      </c>
      <c r="F78" s="18">
        <f>296881967.67/1000</f>
        <v>296881.96766999998</v>
      </c>
      <c r="G78" s="13">
        <f t="shared" si="20"/>
        <v>55.665867944012902</v>
      </c>
      <c r="H78" s="14">
        <v>0</v>
      </c>
      <c r="I78" s="22">
        <f t="shared" si="23"/>
        <v>-40309.187470000099</v>
      </c>
      <c r="J78" s="22">
        <f t="shared" si="24"/>
        <v>-0.135775129039854</v>
      </c>
    </row>
    <row r="79" spans="1:11" s="1" customFormat="1">
      <c r="A79" s="17" t="s">
        <v>87</v>
      </c>
      <c r="B79" s="18">
        <f>2408920.22/1000</f>
        <v>2408.92022</v>
      </c>
      <c r="C79" s="18">
        <f>2408920.22/1000</f>
        <v>2408.92022</v>
      </c>
      <c r="D79" s="13">
        <f t="shared" si="21"/>
        <v>100</v>
      </c>
      <c r="E79" s="18">
        <f>2339912.32/1000</f>
        <v>2339.9123199999999</v>
      </c>
      <c r="F79" s="18">
        <f>2339912.32/1000</f>
        <v>2339.9123199999999</v>
      </c>
      <c r="G79" s="13">
        <f t="shared" si="20"/>
        <v>100</v>
      </c>
      <c r="H79" s="14">
        <v>0</v>
      </c>
      <c r="I79" s="22">
        <f t="shared" si="23"/>
        <v>69.007900000000504</v>
      </c>
      <c r="J79" s="22">
        <f t="shared" si="24"/>
        <v>2.9491660610599501E-2</v>
      </c>
    </row>
    <row r="80" spans="1:11" s="1" customFormat="1" ht="37.5">
      <c r="A80" s="17" t="s">
        <v>88</v>
      </c>
      <c r="B80" s="18">
        <f>0/1000</f>
        <v>0</v>
      </c>
      <c r="C80" s="18">
        <f>0/1000</f>
        <v>0</v>
      </c>
      <c r="D80" s="13">
        <v>0</v>
      </c>
      <c r="E80" s="18">
        <v>0</v>
      </c>
      <c r="F80" s="18">
        <v>0</v>
      </c>
      <c r="G80" s="13">
        <v>0</v>
      </c>
      <c r="H80" s="14">
        <v>0</v>
      </c>
      <c r="I80" s="22">
        <f t="shared" si="23"/>
        <v>0</v>
      </c>
      <c r="J80" s="22">
        <v>0</v>
      </c>
    </row>
    <row r="81" spans="1:12" s="1" customFormat="1">
      <c r="A81" s="17" t="s">
        <v>89</v>
      </c>
      <c r="B81" s="18">
        <f>46131000/1000</f>
        <v>46131</v>
      </c>
      <c r="C81" s="18">
        <f>46131000/1000</f>
        <v>46131</v>
      </c>
      <c r="D81" s="13">
        <f t="shared" si="21"/>
        <v>100</v>
      </c>
      <c r="E81" s="18">
        <f>44000000/1000</f>
        <v>44000</v>
      </c>
      <c r="F81" s="18">
        <f>44000000/1000</f>
        <v>44000</v>
      </c>
      <c r="G81" s="13">
        <f t="shared" ref="G81:G83" si="25">F81/E81*100</f>
        <v>100</v>
      </c>
      <c r="H81" s="14">
        <f t="shared" si="22"/>
        <v>100</v>
      </c>
      <c r="I81" s="22">
        <f t="shared" si="23"/>
        <v>2131</v>
      </c>
      <c r="J81" s="22">
        <f t="shared" si="24"/>
        <v>4.8431818181818201E-2</v>
      </c>
    </row>
    <row r="82" spans="1:12" s="1" customFormat="1">
      <c r="A82" s="17" t="s">
        <v>90</v>
      </c>
      <c r="B82" s="18">
        <f>25000000/1000</f>
        <v>25000</v>
      </c>
      <c r="C82" s="18">
        <f>25000000/1000</f>
        <v>25000</v>
      </c>
      <c r="D82" s="13">
        <f t="shared" si="21"/>
        <v>100</v>
      </c>
      <c r="E82" s="18">
        <f>25000000/1000</f>
        <v>25000</v>
      </c>
      <c r="F82" s="18">
        <f>25000000/1000</f>
        <v>25000</v>
      </c>
      <c r="G82" s="13">
        <f t="shared" si="25"/>
        <v>100</v>
      </c>
      <c r="H82" s="14">
        <f t="shared" si="22"/>
        <v>100</v>
      </c>
      <c r="I82" s="22">
        <f t="shared" si="23"/>
        <v>0</v>
      </c>
      <c r="J82" s="22">
        <f t="shared" si="24"/>
        <v>0</v>
      </c>
    </row>
    <row r="83" spans="1:12" s="1" customFormat="1">
      <c r="A83" s="17" t="s">
        <v>91</v>
      </c>
      <c r="B83" s="18">
        <f>21131000/1000</f>
        <v>21131</v>
      </c>
      <c r="C83" s="18">
        <f>21131000/1000</f>
        <v>21131</v>
      </c>
      <c r="D83" s="13">
        <f t="shared" si="21"/>
        <v>100</v>
      </c>
      <c r="E83" s="18">
        <f>19000000/1000</f>
        <v>19000</v>
      </c>
      <c r="F83" s="18">
        <f>19000000/1000</f>
        <v>19000</v>
      </c>
      <c r="G83" s="13">
        <f t="shared" si="25"/>
        <v>100</v>
      </c>
      <c r="H83" s="14">
        <f t="shared" si="22"/>
        <v>100</v>
      </c>
      <c r="I83" s="22">
        <f t="shared" si="23"/>
        <v>2131</v>
      </c>
      <c r="J83" s="22">
        <f t="shared" si="24"/>
        <v>0.112157894736842</v>
      </c>
    </row>
    <row r="84" spans="1:12" s="1" customFormat="1" ht="37.5">
      <c r="A84" s="17" t="s">
        <v>92</v>
      </c>
      <c r="B84" s="18">
        <f>0/1000</f>
        <v>0</v>
      </c>
      <c r="C84" s="18">
        <f>0/1000</f>
        <v>0</v>
      </c>
      <c r="D84" s="13">
        <v>0</v>
      </c>
      <c r="E84" s="18">
        <v>0</v>
      </c>
      <c r="F84" s="18">
        <v>0</v>
      </c>
      <c r="G84" s="13">
        <v>0</v>
      </c>
      <c r="H84" s="14">
        <v>0</v>
      </c>
      <c r="I84" s="22">
        <f t="shared" si="23"/>
        <v>0</v>
      </c>
      <c r="J84" s="22">
        <v>0</v>
      </c>
    </row>
    <row r="85" spans="1:12" s="1" customFormat="1" ht="37.5">
      <c r="A85" s="17" t="s">
        <v>93</v>
      </c>
      <c r="B85" s="18">
        <f>0/1000</f>
        <v>0</v>
      </c>
      <c r="C85" s="18">
        <f>0/1000</f>
        <v>0</v>
      </c>
      <c r="D85" s="13">
        <v>0</v>
      </c>
      <c r="E85" s="18">
        <v>0</v>
      </c>
      <c r="F85" s="18">
        <v>0</v>
      </c>
      <c r="G85" s="13">
        <v>0</v>
      </c>
      <c r="H85" s="14">
        <v>0</v>
      </c>
      <c r="I85" s="22">
        <f t="shared" si="23"/>
        <v>0</v>
      </c>
      <c r="J85" s="22">
        <v>0</v>
      </c>
    </row>
    <row r="86" spans="1:12" s="1" customFormat="1" ht="56.25">
      <c r="A86" s="17" t="s">
        <v>94</v>
      </c>
      <c r="B86" s="18">
        <f>2027379062.24/1000</f>
        <v>2027379.0622400001</v>
      </c>
      <c r="C86" s="18">
        <f>1987969922.49/1000</f>
        <v>1987969.92249</v>
      </c>
      <c r="D86" s="13">
        <f t="shared" si="21"/>
        <v>98.056153361549605</v>
      </c>
      <c r="E86" s="18">
        <f>2189099225.94/1000</f>
        <v>2189099.2259399998</v>
      </c>
      <c r="F86" s="18">
        <f>1886457743.17/1000</f>
        <v>1886457.7431699999</v>
      </c>
      <c r="G86" s="13">
        <f t="shared" ref="G86" si="26">F86/E86*100</f>
        <v>86.175067845997404</v>
      </c>
      <c r="H86" s="14">
        <f t="shared" si="22"/>
        <v>86.175067845997404</v>
      </c>
      <c r="I86" s="22">
        <f t="shared" si="23"/>
        <v>101512.17932</v>
      </c>
      <c r="J86" s="22">
        <f t="shared" si="24"/>
        <v>5.38110009023679E-2</v>
      </c>
    </row>
    <row r="87" spans="1:12" s="1" customFormat="1" ht="56.25">
      <c r="A87" s="17" t="s">
        <v>95</v>
      </c>
      <c r="B87" s="18">
        <f>993058900/1000</f>
        <v>993058.9</v>
      </c>
      <c r="C87" s="18">
        <f>993058900/1000</f>
        <v>993058.9</v>
      </c>
      <c r="D87" s="13">
        <f t="shared" si="21"/>
        <v>100</v>
      </c>
      <c r="E87" s="18">
        <f>869469956/1000</f>
        <v>869469.95600000001</v>
      </c>
      <c r="F87" s="18">
        <f>869469956/1000</f>
        <v>869469.95600000001</v>
      </c>
      <c r="G87" s="13">
        <v>0</v>
      </c>
      <c r="H87" s="14">
        <f t="shared" si="22"/>
        <v>100</v>
      </c>
      <c r="I87" s="22">
        <f t="shared" si="23"/>
        <v>123588.944</v>
      </c>
      <c r="J87" s="22">
        <f t="shared" si="24"/>
        <v>0.14214285743531799</v>
      </c>
    </row>
    <row r="88" spans="1:12" s="1" customFormat="1">
      <c r="A88" s="17" t="s">
        <v>96</v>
      </c>
      <c r="B88" s="18">
        <f>1034320162.24/1000</f>
        <v>1034320.16224</v>
      </c>
      <c r="C88" s="18">
        <f>994911022.49/1000</f>
        <v>994911.02249</v>
      </c>
      <c r="D88" s="13">
        <f t="shared" si="21"/>
        <v>96.189850958270696</v>
      </c>
      <c r="E88" s="18">
        <f>1319629269.94/1000</f>
        <v>1319629.26994</v>
      </c>
      <c r="F88" s="18">
        <f>1016987787.17/1000</f>
        <v>1016987.78717</v>
      </c>
      <c r="G88" s="13">
        <f t="shared" ref="G88:G90" si="27">F88/E88*100</f>
        <v>77.066173836553304</v>
      </c>
      <c r="H88" s="14">
        <f t="shared" si="22"/>
        <v>77.066173836553304</v>
      </c>
      <c r="I88" s="22">
        <f t="shared" si="23"/>
        <v>-22076.764679999898</v>
      </c>
      <c r="J88" s="22">
        <f t="shared" si="24"/>
        <v>-2.17079938997434E-2</v>
      </c>
    </row>
    <row r="89" spans="1:12" s="1" customFormat="1">
      <c r="A89" s="26" t="s">
        <v>97</v>
      </c>
      <c r="B89" s="27">
        <f>-3270016813.99/1000</f>
        <v>-3270016.8139900002</v>
      </c>
      <c r="C89" s="27">
        <f>-175132758.13/1000</f>
        <v>-175132.75813</v>
      </c>
      <c r="D89" s="13">
        <f t="shared" si="21"/>
        <v>5.3557143003282297</v>
      </c>
      <c r="E89" s="27">
        <f>-990257575.51/1000</f>
        <v>-990257.57551</v>
      </c>
      <c r="F89" s="27">
        <f>1050290248.12/1000</f>
        <v>1050290.2481199999</v>
      </c>
      <c r="G89" s="13">
        <f t="shared" si="27"/>
        <v>-106.062329043944</v>
      </c>
      <c r="H89" s="14">
        <f t="shared" si="22"/>
        <v>-106.062329043944</v>
      </c>
      <c r="I89" s="22">
        <f t="shared" si="23"/>
        <v>-1225423.0062500001</v>
      </c>
      <c r="J89" s="22">
        <f t="shared" si="24"/>
        <v>-1.16674700964184</v>
      </c>
      <c r="K89" s="25"/>
      <c r="L89" s="25"/>
    </row>
    <row r="90" spans="1:12">
      <c r="A90" s="28" t="s">
        <v>98</v>
      </c>
      <c r="B90" s="13">
        <f>3270016813.99/1000</f>
        <v>3270016.8139900002</v>
      </c>
      <c r="C90" s="13">
        <f>175132758.13/1000</f>
        <v>175132.75813</v>
      </c>
      <c r="D90" s="13">
        <f t="shared" si="21"/>
        <v>5.3557143003282297</v>
      </c>
      <c r="E90" s="13">
        <f>990257575.51/1000</f>
        <v>990257.57551</v>
      </c>
      <c r="F90" s="13">
        <f>-1050290248.12/1000</f>
        <v>-1050290.2481199999</v>
      </c>
      <c r="G90" s="13">
        <f t="shared" si="27"/>
        <v>-106.062329043944</v>
      </c>
      <c r="H90" s="14">
        <f t="shared" si="22"/>
        <v>-106.062329043944</v>
      </c>
      <c r="I90" s="22">
        <f t="shared" si="23"/>
        <v>1225423.0062500001</v>
      </c>
      <c r="J90" s="22">
        <f t="shared" si="24"/>
        <v>-1.16674700964184</v>
      </c>
      <c r="K90" s="24"/>
    </row>
    <row r="91" spans="1:12">
      <c r="A91" s="29" t="s">
        <v>99</v>
      </c>
      <c r="B91" s="16"/>
      <c r="C91" s="16"/>
      <c r="D91" s="13"/>
      <c r="E91" s="16"/>
      <c r="F91" s="16"/>
      <c r="G91" s="13"/>
      <c r="H91" s="14"/>
      <c r="I91" s="22"/>
      <c r="J91" s="22"/>
    </row>
    <row r="92" spans="1:12">
      <c r="A92" s="30" t="s">
        <v>100</v>
      </c>
      <c r="B92" s="18">
        <f>-34000000/1000</f>
        <v>-34000</v>
      </c>
      <c r="C92" s="18">
        <f>5000000/1000</f>
        <v>5000</v>
      </c>
      <c r="D92" s="13">
        <f t="shared" si="21"/>
        <v>-14.705882352941201</v>
      </c>
      <c r="E92" s="18">
        <f>-6700000/1000</f>
        <v>-6700</v>
      </c>
      <c r="F92" s="18">
        <f>7300000/1000</f>
        <v>7300</v>
      </c>
      <c r="G92" s="13">
        <v>0</v>
      </c>
      <c r="H92" s="14">
        <v>0</v>
      </c>
      <c r="I92" s="22">
        <f t="shared" si="23"/>
        <v>-2300</v>
      </c>
      <c r="J92" s="22">
        <f t="shared" si="24"/>
        <v>-0.31506849315068503</v>
      </c>
    </row>
  </sheetData>
  <mergeCells count="8">
    <mergeCell ref="I4:I6"/>
    <mergeCell ref="J4:J6"/>
    <mergeCell ref="A1:J3"/>
    <mergeCell ref="B4:D4"/>
    <mergeCell ref="E4:H4"/>
    <mergeCell ref="A4:A6"/>
    <mergeCell ref="D5:D6"/>
    <mergeCell ref="H5:H6"/>
  </mergeCells>
  <pageMargins left="0.78749999999999998" right="0.3152778" top="0.59027779999999996" bottom="0.39374999999999999" header="0" footer="0"/>
  <pageSetup paperSize="9" scale="49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71A793-A51F-445A-B547-6325289BFD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Информация</vt:lpstr>
      <vt:lpstr>Информация!Заголовки_для_печати</vt:lpstr>
      <vt:lpstr>Информация!Область_печати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Марфа Дмитриевна</cp:lastModifiedBy>
  <cp:lastPrinted>2026-04-03T13:15:52Z</cp:lastPrinted>
  <dcterms:created xsi:type="dcterms:W3CDTF">2019-10-28T07:22:00Z</dcterms:created>
  <dcterms:modified xsi:type="dcterms:W3CDTF">2026-04-03T13:16:13Z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SV_0503317G_20160101_2.xlsx</vt:lpwstr>
  </property>
  <property fmtid="{D5CDD505-2E9C-101B-9397-08002B2CF9AE}" pid="3" name="Название отчета">
    <vt:lpwstr>SV_0503317G_20160101_2.xlsx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SV_0503317G_20160101</vt:lpwstr>
  </property>
  <property fmtid="{D5CDD505-2E9C-101B-9397-08002B2CF9AE}" pid="11" name="Локальная база">
    <vt:lpwstr>используется</vt:lpwstr>
  </property>
  <property fmtid="{D5CDD505-2E9C-101B-9397-08002B2CF9AE}" pid="12" name="ICV">
    <vt:lpwstr>C0EBA17710284D21800809E4D3531744_13</vt:lpwstr>
  </property>
  <property fmtid="{D5CDD505-2E9C-101B-9397-08002B2CF9AE}" pid="13" name="KSOProductBuildVer">
    <vt:lpwstr>1049-12.2.0.23196</vt:lpwstr>
  </property>
</Properties>
</file>